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jpeg" ContentType="image/jpeg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M" sheetId="2" r:id="rId3"/>
    <sheet name="CPU" sheetId="3" state="hidden" r:id="rId4"/>
    <sheet name="COTAÇÕES" sheetId="4" state="hidden" r:id="rId5"/>
    <sheet name="VIAS CONTEMPLADAS" sheetId="5" state="hidden" r:id="rId6"/>
    <sheet name="MEM.CÁLCULO" sheetId="6" r:id="rId7"/>
    <sheet name="CFF" sheetId="7" state="hidden" r:id="rId8"/>
    <sheet name="BDI" sheetId="8" state="hidden" r:id="rId9"/>
    <sheet name="ENC.SOCIAIS" sheetId="9" state="hidden" r:id="rId10"/>
    <sheet name="BM (2)" sheetId="10" r:id="rId11"/>
    <sheet name="CPU (2)" sheetId="11" state="hidden" r:id="rId12"/>
    <sheet name="COTAÇÕES (2)" sheetId="12" state="hidden" r:id="rId13"/>
    <sheet name="VIAS CONTEMPLADAS (2)" sheetId="13" state="hidden" r:id="rId14"/>
    <sheet name="MEM.CÁLCULO (2)" sheetId="14" r:id="rId15"/>
    <sheet name="CFF (2)" sheetId="15" state="hidden" r:id="rId16"/>
    <sheet name="BDI (2)" sheetId="16" state="hidden" r:id="rId17"/>
    <sheet name="ENC.SOCIAIS (2)" sheetId="17" state="hidden" r:id="rId18"/>
    <sheet name="Comp. Ins." sheetId="18" state="hidden" r:id="rId19"/>
    <sheet name="medição" sheetId="19" r:id="rId20"/>
    <sheet name="MEM.CÁLCULO (3)" sheetId="20" state="hidden" r:id="rId21"/>
    <sheet name="CPU (3)" sheetId="21" state="hidden" r:id="rId22"/>
    <sheet name="CRONOGRAMA" sheetId="22" state="hidden" r:id="rId23"/>
    <sheet name="BDI (3)" sheetId="23" state="hidden" r:id="rId24"/>
    <sheet name="ENC.SOCIAIS (3)" sheetId="24" state="hidden" r:id="rId25"/>
    <sheet name="BOLETIM DE MEDIÇÃO" sheetId="25" r:id="rId26"/>
    <sheet name="BOLETIM DE MEDIÇÃO (2)" sheetId="26" r:id="rId27"/>
  </sheets>
  <externalReferences>
    <externalReference r:id="rId29"/>
  </externalReferences>
  <definedNames>
    <definedName name="_xlnm.Print_Area" localSheetId="6">BDI!$A$1:$C$43</definedName>
    <definedName name="_xlnm.Print_Area" localSheetId="0">BM!$A$1:$V$37</definedName>
    <definedName name="_xlnm.Print_Area" localSheetId="5">CFF!$A$1:$V$29</definedName>
    <definedName name="_xlnm.Print_Area" localSheetId="1">CPU!$A$1:$G$131</definedName>
    <definedName name="_xlnm.Print_Area" localSheetId="7">ENC.SOCIAIS!$A$1:$D$51</definedName>
    <definedName name="_xlnm.Print_Area" localSheetId="4">MEM.CÁLCULO!$A$1:$F$63</definedName>
    <definedName name="_xlnm.Print_Area" localSheetId="3">'VIAS CONTEMPLADAS'!$A$1:$F$68</definedName>
    <definedName name="_xlnm.Print_Area" localSheetId="14">'BDI (2)'!$A$1:$C$43</definedName>
    <definedName name="_xlnm.Print_Area" localSheetId="8">'BM (2)'!$A$1:$V$37</definedName>
    <definedName name="_xlnm.Print_Area" localSheetId="13">'CFF (2)'!$A$1:$V$29</definedName>
    <definedName name="_xlnm.Print_Area" localSheetId="9">'CPU (2)'!$A$1:$G$131</definedName>
    <definedName name="_xlnm.Print_Area" localSheetId="15">'ENC.SOCIAIS (2)'!$A$1:$D$51</definedName>
    <definedName name="_xlnm.Print_Area" localSheetId="12">'MEM.CÁLCULO (2)'!$A$1:$F$63</definedName>
    <definedName name="_xlnm.Print_Area" localSheetId="11">'VIAS CONTEMPLADAS (2)'!$A$1:$F$68</definedName>
    <definedName name="_xlnm.Print_Area" localSheetId="21">'BDI (3)'!$A$1:$C$42</definedName>
    <definedName name="_xlnm.Print_Area" localSheetId="16">'Comp. Ins.'!$A$1:$F$77</definedName>
    <definedName name="_xlnm.Print_Area" localSheetId="19">'CPU (3)'!$A$1:$G$78</definedName>
    <definedName name="_xlnm.Print_Area" localSheetId="20">CRONOGRAMA!$A$1:$L$56</definedName>
    <definedName name="_xlnm.Print_Area" localSheetId="22">'ENC.SOCIAIS (3)'!$A$1:$D$50</definedName>
    <definedName name="_xlnm.Print_Area" localSheetId="17">medição!$A$1:$T$173</definedName>
    <definedName name="_xlnm.Print_Area" localSheetId="18">'MEM.CÁLCULO (3)'!$A$1:$J$1401</definedName>
    <definedName name="_xlnm.Print_Titles" localSheetId="17">medição!$11:$11</definedName>
    <definedName name="_xlnm.Print_Area" localSheetId="23">'BOLETIM DE MEDIÇÃO'!$A$1:$AI$36</definedName>
    <definedName name="_xlnm.Print_Area" localSheetId="24">'BOLETIM DE MEDIÇÃO (2)'!$A$1:$AI$36</definedName>
  </definedNames>
  <calcPr fullCalcOnLoad="1"/>
</workbook>
</file>

<file path=xl/calcChain.xml><?xml version="1.0" encoding="utf-8"?>
<calcChain xmlns="http://schemas.openxmlformats.org/spreadsheetml/2006/main">
  <c r="A2" i="22" l="1"/>
</calcChain>
</file>

<file path=xl/sharedStrings.xml><?xml version="1.0" encoding="utf-8"?>
<sst xmlns="http://schemas.openxmlformats.org/spreadsheetml/2006/main" count="4020" uniqueCount="991">
  <si>
    <t>ESTADO DO PARÁ</t>
  </si>
  <si>
    <t>PREFEITURA MUNICIPAL DE TERRA SANTA</t>
  </si>
  <si>
    <t>MEDIÇÃO Nº</t>
  </si>
  <si>
    <t>OBRA: PAVIMENTAÇÃO EM CONCRETO DE VIAS URBANAS DO MUNICÍPIO DE TERRA SANTA</t>
  </si>
  <si>
    <t>EMPRESA: CONSTRUTORA CONSTROPY LTDA</t>
  </si>
  <si>
    <t>LICITAÇÃO: CONCORRÊNCIA 01/2023</t>
  </si>
  <si>
    <t>CONTRATO: 49/2023</t>
  </si>
  <si>
    <t>DATA:</t>
  </si>
  <si>
    <t>BOLETIM DE MEDIÇÃO</t>
  </si>
  <si>
    <t>ITEM</t>
  </si>
  <si>
    <t>DESCRIÇÃO</t>
  </si>
  <si>
    <t>UNI</t>
  </si>
  <si>
    <t>QUANT</t>
  </si>
  <si>
    <t>R$ C/ BDI</t>
  </si>
  <si>
    <t>R$ PARCIAL</t>
  </si>
  <si>
    <t>REALIZADO NO PERÍODO</t>
  </si>
  <si>
    <t>ACUMULADO ATÉ O PERÍODO</t>
  </si>
  <si>
    <t>SALDO</t>
  </si>
  <si>
    <t>QUANT.</t>
  </si>
  <si>
    <t>P. TOT. (R$)</t>
  </si>
  <si>
    <t>1.0</t>
  </si>
  <si>
    <t>SERVIÇOS PRELIMINARES</t>
  </si>
  <si>
    <t>1.1</t>
  </si>
  <si>
    <t>EXECUÇÃO DE ALMOXARIFADO EM CANTEIRO DE OBRA EM CHAPA DE MADEIRA COMPENSADA, INCLUSO PRATELEIRAS</t>
  </si>
  <si>
    <t>m²</t>
  </si>
  <si>
    <t>1.2</t>
  </si>
  <si>
    <t>PLACA DE OBRA EM LONA COM PLOTAGEM DE GRÁFICA</t>
  </si>
  <si>
    <t>1.3</t>
  </si>
  <si>
    <t>LOCAÇÃO DE PAVIMENTAÇÃO</t>
  </si>
  <si>
    <t>m</t>
  </si>
  <si>
    <t>2.0</t>
  </si>
  <si>
    <t>MOBILIZAÇÃO E DESMOBILIZAÇÃO</t>
  </si>
  <si>
    <t>2.1</t>
  </si>
  <si>
    <t>MOBILIZAÇÃO</t>
  </si>
  <si>
    <t>uni</t>
  </si>
  <si>
    <t>2.2</t>
  </si>
  <si>
    <t>DESMOBILIZAÇÃO</t>
  </si>
  <si>
    <t>3.0</t>
  </si>
  <si>
    <t>ADMINISTRAÇÃO LOCAL</t>
  </si>
  <si>
    <t>3.1</t>
  </si>
  <si>
    <t>EQUIPE TÉCNICA</t>
  </si>
  <si>
    <t>4.0</t>
  </si>
  <si>
    <t>PAVIMENTAÇÃO</t>
  </si>
  <si>
    <t>4.1</t>
  </si>
  <si>
    <t>PISO EM CONCRETO COM CONCRETO MOLDADO IN LOCO, FEITO EM OBRA, ACABAMENTO CONVENCIONAL, NÃO ARMADO</t>
  </si>
  <si>
    <t>m³</t>
  </si>
  <si>
    <t>4.2</t>
  </si>
  <si>
    <t>MEIO-FIO EM CONCRETO NAS DIMENSÕES 0,30M x 0,12M SEM LÂMINA D'ÁGUA</t>
  </si>
  <si>
    <t>R$ TOTAL</t>
  </si>
  <si>
    <t>O PRESENTE BOLETIM DE MEDIÇÃO É DE R$ 350.300,95 (TREZENTOS E CINQUENTA MIL, TREZENTOS REAIS E NOVENTA E CINCO CENTAVOS)</t>
  </si>
  <si>
    <t>LUNA DA SILVA DE JESUS</t>
  </si>
  <si>
    <t>ENGª CIVIL PMTS</t>
  </si>
  <si>
    <t>CREA/PA 1514686880</t>
  </si>
  <si>
    <t>COMPOSIÇÃO DE PREÇOS UNITÁRIOS</t>
  </si>
  <si>
    <t>FONTE</t>
  </si>
  <si>
    <t>CÓDIGO</t>
  </si>
  <si>
    <t>COEF</t>
  </si>
  <si>
    <t>R$ UNIT</t>
  </si>
  <si>
    <t>SINAPI</t>
  </si>
  <si>
    <t xml:space="preserve"> 88262 </t>
  </si>
  <si>
    <t>CARPINTEIRO DE FORMAS COM ENCARGOS COMPLEMENTARES</t>
  </si>
  <si>
    <t>H</t>
  </si>
  <si>
    <t xml:space="preserve"> 88489 </t>
  </si>
  <si>
    <t>APLICAÇÃO MANUAL DE PINTURA COM TINTA LÁTEX ACRÍLICA EM PAREDES, DUAS DEMÃOS. AF_06/2014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</si>
  <si>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</si>
  <si>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</si>
  <si>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>M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</si>
  <si>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</si>
  <si>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</si>
  <si>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91341 </t>
  </si>
  <si>
    <t>PORTA EM ALUMÍNIO DE ABRIR TIPO VENEZIANA COM GUARNIÇÃO, FIXAÇÃO COM PARAFUSOS - FORNECIMENTO E INSTALAÇÃO. AF_12/2019</t>
  </si>
  <si>
    <t xml:space="preserve"> 91862 </t>
  </si>
  <si>
    <t>ELETRODUTO RÍGIDO ROSCÁVEL, PVC, DN 20 MM (1/2"), PARA CIRCUITOS TERMINAIS, INSTALADO EM FORRO - FORNECIMENTO E INSTALAÇÃO. AF_12/2015</t>
  </si>
  <si>
    <t xml:space="preserve"> 91870 </t>
  </si>
  <si>
    <t>ELETRODUTO RÍGIDO ROSCÁVEL, PVC, DN 20 MM (1/2"), PARA CIRCUITOS TERMINAIS, INSTALADO EM PAREDE - FORNECIMENTO E INSTALAÇÃO. AF_12/2015</t>
  </si>
  <si>
    <t xml:space="preserve"> 91911 </t>
  </si>
  <si>
    <t>CURVA 90 GRAUS PARA ELETRODUTO, PVC, ROSCÁVEL, DN 20 MM (1/2"), PARA CIRCUITOS TERMINAIS, INSTALADA EM PAREDE - FORNECIMENTO E INSTALAÇÃO. AF_12/2015</t>
  </si>
  <si>
    <t>UN</t>
  </si>
  <si>
    <t xml:space="preserve"> 91924 </t>
  </si>
  <si>
    <t>CABO DE COBRE FLEXÍVEL ISOLADO, 1,5 MM², ANTI-CHAMA 450/750 V, PARA CIRCUITOS TERMINAIS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</si>
  <si>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</si>
  <si>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</si>
  <si>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91937 </t>
  </si>
  <si>
    <t>CAIXA OCTOGONAL 3" X 3", PVC, INSTALADA EM LAJE - FORNECIMENTO E INSTALAÇÃO. AF_12/2015</t>
  </si>
  <si>
    <t xml:space="preserve"> 92000 </t>
  </si>
  <si>
    <t>TOMADA BAIXA DE EMBUTIR (1 MÓDULO), 2P+T 10 A, INCLUINDO SUPORTE E PLACA - FORNECIMENTO E INSTALAÇÃO. AF_12/2015</t>
  </si>
  <si>
    <t xml:space="preserve"> 92025 </t>
  </si>
  <si>
    <t>INTERRUPTOR SIMPLES (1 MÓDULO) COM 2 TOMADAS DE EMBUTIR 2P+T 10 A,  INCLUINDO SUPORTE E PLACA - FORNECIMENTO E INSTALAÇÃO. AF_12/2015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</si>
  <si>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</si>
  <si>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</si>
  <si>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 xml:space="preserve"> 93358 </t>
  </si>
  <si>
    <t>ESCAVAÇÃO MANUAL DE VALA COM PROFUNDIDADE MENOR OU IGUAL A 1,30 M. AF_02/2021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</si>
  <si>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</si>
  <si>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</si>
  <si>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</si>
  <si>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</si>
  <si>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95240 </t>
  </si>
  <si>
    <t>LASTRO DE CONCRETO MAGRO, APLICADO EM PISOS, LAJES SOBRE SOLO OU RADIERS, ESPESSURA DE 3 CM. AF_07/2016</t>
  </si>
  <si>
    <t xml:space="preserve"> 95241 </t>
  </si>
  <si>
    <t>LASTRO DE CONCRETO MAGRO, APLICADO EM PISOS, LAJES SOBRE SOLO OU RADIERS, ESPESSURA DE 5 CM. AF_07/2016</t>
  </si>
  <si>
    <t xml:space="preserve"> 95805 </t>
  </si>
  <si>
    <t>CONDULETE DE PVC, TIPO B, PARA ELETRODUTO DE PVC SOLDÁVEL DN 25 MM (3/4''), APARENTE - FORNECIMENTO E INSTALAÇÃO. AF_10/2022</t>
  </si>
  <si>
    <t xml:space="preserve"> 95811 </t>
  </si>
  <si>
    <t>CONDULETE DE PVC, TIPO LB, PARA ELETRODUTO DE PVC SOLDÁVEL DN 25 MM (3/4''), APARENTE - FORNECIMENTO E INSTALAÇÃO. AF_10/2022</t>
  </si>
  <si>
    <t xml:space="preserve"> 96995 </t>
  </si>
  <si>
    <t>REATERRO MANUAL APILOADO COM SOQUETE. AF_10/2017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</si>
  <si>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</si>
  <si>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</si>
  <si>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97593 </t>
  </si>
  <si>
    <t>LUMINÁRIA TIPO SPOT, DE SOBREPOR, COM 1 LÂMPADA FLUORESCENTE DE 15 W, SEM REATOR - FORNECIMENTO E INSTALAÇÃO. AF_02/2020</t>
  </si>
  <si>
    <t xml:space="preserve"> 97611 </t>
  </si>
  <si>
    <t>LÂMPADA COMPACTA FLUORESCENTE DE 15 W, BASE E27 - FORNECIMENTO E INSTALAÇÃO. AF_02/2020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</si>
  <si>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</si>
  <si>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</si>
  <si>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</si>
  <si>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</si>
  <si>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98443 </t>
  </si>
  <si>
    <t>PAREDE DE MADEIRA COMPENSADA PARA CONSTRUÇÃO TEMPORÁRIA EM CHAPA SIMPLES, INTERNA, COM ÁREA LÍQUIDA MAIOR OU IGUAL A 6 M², SEM VÃO. AF_05/2018</t>
  </si>
  <si>
    <t xml:space="preserve"> 98444 </t>
  </si>
  <si>
    <t>PAREDE DE MADEIRA COMPENSADA PARA CONSTRUÇÃO TEMPORÁRIA EM CHAPA SIMPLES, INTERNA, COM ÁREA LÍQUIDA MENOR QUE 6 M², SEM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</si>
  <si>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</si>
  <si>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</si>
  <si>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</si>
  <si>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</si>
  <si>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98447 </t>
  </si>
  <si>
    <t>PAREDE DE MADEIRA COMPENSADA PARA CONSTRUÇÃO TEMPORÁRIA EM CHAPA SIMPLES, INTERNA, COM ÁREA LÍQUIDA MAIOR OU IGUAL A 6 M², COM VÃO. AF_05/2018</t>
  </si>
  <si>
    <t xml:space="preserve"> 98448 </t>
  </si>
  <si>
    <t>PAREDE DE MADEIRA COMPENSADA PARA CONSTRUÇÃO TEMPORÁRIA EM CHAPA SIMPLES, INTERNA, COM ÁREA LÍQUIDA MENOR QUE 6 M², COM VÃO. AF_05/2018</t>
  </si>
  <si>
    <t xml:space="preserve"> 101165 </t>
  </si>
  <si>
    <t>ALVENARIA DE EMBASAMENTO COM BLOCO ESTRUTURAL DE CONCRETO, DE 14X19X29CM E ARGAMASSA DE ASSENTAMENTO COM PREPARO EM BETONEIRA. AF_05/2020</t>
  </si>
  <si>
    <t xml:space="preserve"> 101876 </t>
  </si>
  <si>
    <t>QUADRO DE DISTRIBUIÇÃO DE ENERGIA EM PVC, DE EMBUTIR, SEM BARRAMENTO, PARA 6 DISJUNTORES - FORNECIMENTO E INSTALAÇÃO. AF_10/2020</t>
  </si>
  <si>
    <t xml:space="preserve"> 101891 </t>
  </si>
  <si>
    <t>DISJUNTOR MONOPOLAR TIPO NEMA, CORRENTE NOMINAL DE 35 ATÉ 50A - FORNECIMENTO E INSTALAÇÃO. AF_10/2020</t>
  </si>
  <si>
    <t xml:space="preserve"> 00004513 </t>
  </si>
  <si>
    <t>CAIBRO 5 X 5 CM EM PINUS, MISTA OU EQUIVALENTE DA REGIAO - BRUTA</t>
  </si>
  <si>
    <t xml:space="preserve"> 00006193 </t>
  </si>
  <si>
    <t>TABUA  NAO  APARELHADA  *2,5 X 20* CM, EM MACARANDUBA, ANGELIM OU EQUIVALENTE DA REGIAO - BRUTA</t>
  </si>
  <si>
    <t xml:space="preserve"> 00010886 </t>
  </si>
  <si>
    <t>EXTINTOR DE INCENDIO PORTATIL COM CARGA DE AGUA PRESSURIZADA DE 10 L, CLASSE A</t>
  </si>
  <si>
    <t xml:space="preserve"> 00010891 </t>
  </si>
  <si>
    <t>EXTINTOR DE INCENDIO PORTATIL COM CARGA DE PO QUIMICO SECO (PQS) DE 4 KG, CLASSE BC</t>
  </si>
  <si>
    <t xml:space="preserve"> 00011455 </t>
  </si>
  <si>
    <t>FERROLHO COM FECHO / TRINCO REDONDO, EM ACO GALVANIZADO / ZINCADO, DE SOBREPOR, COM COMPRIMENTO DE 8" E ESPESSURA MINIMA DA CHAPA DE 1,50 MM</t>
  </si>
  <si>
    <t xml:space="preserve"> 00011587 </t>
  </si>
  <si>
    <t>FORRO DE PVC LISO, BRANCO, REGUA DE 10 CM, ESPESSURA DE 8 MM A 10 MM (COM COLOCACAO / SEM ESTRUTURA METALICA)</t>
  </si>
  <si>
    <t>SEDOP</t>
  </si>
  <si>
    <t xml:space="preserve">CARPINTEIRO COM ENCARGOS COMPLEMENTARES </t>
  </si>
  <si>
    <t xml:space="preserve">SERVENTE COM ENCARGOS COMPLEMENTARES </t>
  </si>
  <si>
    <t>D00281</t>
  </si>
  <si>
    <t xml:space="preserve">Pernamanca 3" x 2" 4 m - madeira branca </t>
  </si>
  <si>
    <t>Dz</t>
  </si>
  <si>
    <t>D00475</t>
  </si>
  <si>
    <t xml:space="preserve">Lona com plotagem de gráfica </t>
  </si>
  <si>
    <t xml:space="preserve">D00084 </t>
  </si>
  <si>
    <t xml:space="preserve">Prego 1 1/2"x13 </t>
  </si>
  <si>
    <t>KG</t>
  </si>
  <si>
    <t>CAMINHÃO TOCO, PBT 16.000 KG, CARGA ÚTIL MÁX. 10.685 KG, DIST. ENTRE EIXOS 4,8 M, POTÊNCIA 189 CV, INCLUSIVE CARROCERIA FIXA ABERTA DE MADEIRA P/ TRANSPORTE GERAL DE CARGA SECA, DIMEN. APROX. 2,5 X 7,00 X 0,50 M - CHI DIURNO. AF_06/2014-MOBILIZAÇÃO</t>
  </si>
  <si>
    <t>CHI</t>
  </si>
  <si>
    <t>CAMINHÃO TOCO, PBT 16.000 KG, CARGA ÚTIL MÁX. 10.685 KG, DIST. ENTRE EIXOS 4,8 M, POTÊNCIA 189 CV, INCLUSIVE CARROCERIA FIXA ABERTA DE MADEIRA P/ TRANSPORTE GERAL DE CARGA SECA, DIMEN. APROX. 2,5 X 7,00 X 0,50 M - CHP DIURNO-MOBILIZAÇÃO</t>
  </si>
  <si>
    <t>CHP</t>
  </si>
  <si>
    <t>SERVENTE COM ENCARGOS COMPLEMENTARES (x4)-MOBILIZAÇÃO</t>
  </si>
  <si>
    <t>SICRO</t>
  </si>
  <si>
    <t>Transporte fluvial de materiais diversos c/pontão flutuante de 15 x 30 x 1,8 m incl.rebocador 2x360HP</t>
  </si>
  <si>
    <t>km</t>
  </si>
  <si>
    <t>SERVENTE COM ENCARGOS COMPLEMENTARES (x4)-FLUVIAL</t>
  </si>
  <si>
    <t>CAMINHÃO TOCO, PBT 16.000 KG, CARGA ÚTIL MÁX. 10.685 KG, DIST. ENTRE EIXOS 4,8 M, POTÊNCIA 189 CV, INCLUSIVE CARROCERIA FIXA ABERTA DE MADEIRA P/ TRANSPORTE GERAL DE CARGA SECA, DIMEN. APROX. 2,5 X 7,00 X 0,50 M - CHI DIURNO. AF_06/2014-DESMOBILIZAÇÃO</t>
  </si>
  <si>
    <t>CAMINHÃO TOCO, PBT 16.000 KG, CARGA ÚTIL MÁX. 10.685 KG, DIST. ENTRE EIXOS 4,8 M, POTÊNCIA 189 CV, INCLUSIVE CARROCERIA FIXA ABERTA DE MADEIRA P/ TRANSPORTE GERAL DE CARGA SECA, DIMEN. APROX. 2,5 X 7,00 X 0,50 M - CHP DIURNO-DESMOBILIZAÇÃO</t>
  </si>
  <si>
    <t>SERVENTE COM ENCARGOS COMPLEMENTARES (x4)-DESMOBILIZAÇÃO</t>
  </si>
  <si>
    <t>COD</t>
  </si>
  <si>
    <t xml:space="preserve">ENCARREGADO GERAL DE OBRAS COM ENCARGOS COMPLEMENTARES </t>
  </si>
  <si>
    <t xml:space="preserve">VIGIA NOTURNO COM ENCARGOS COMPLEMENTARES </t>
  </si>
  <si>
    <t>CAP. BALSA</t>
  </si>
  <si>
    <t>DIST</t>
  </si>
  <si>
    <t xml:space="preserve">CARPINTEIRO DE FORMAS COM ENCARGOS COMPLEMENTARES </t>
  </si>
  <si>
    <t xml:space="preserve">PEDREIRO COM ENCARGOS COMPLEMENTARES </t>
  </si>
  <si>
    <t>SERVENTE COM ENCARGOS COMPLEMENTARES (4 SERVENTES X 2,5 HS)</t>
  </si>
  <si>
    <t>BETONEIRA CAPACIDADE NOMINAL DE 400 L, CAPACIDADE DE MISTURA 280 L, MOTOR ELÉTRICO TRIFÁSICO POTÊNCIA DE 2 CV, SEM CARREGADOR</t>
  </si>
  <si>
    <t>BRITA/M3</t>
  </si>
  <si>
    <t>PESO BRITA</t>
  </si>
  <si>
    <t>AREIA MEDIA</t>
  </si>
  <si>
    <t>M³</t>
  </si>
  <si>
    <t>COTAÇÃO</t>
  </si>
  <si>
    <t>CIMENTO PORTLAND COMPOSTO CP II-32</t>
  </si>
  <si>
    <t>PEDRA BRITADA N. 1, SEM FRETE</t>
  </si>
  <si>
    <t>Transporte fluvial de materiais diversos c/pontão flutuante de 15 x 30 x 1,8 m incl.rebocador 2x360HP, FRETE DA BRITA (MONTE ALEGRE-TERRA SANTA- MONTE ALEGRE=680KM)</t>
  </si>
  <si>
    <t>340 KM</t>
  </si>
  <si>
    <t xml:space="preserve">00002692 </t>
  </si>
  <si>
    <t xml:space="preserve">DESMOLDANTE PROTETOR PARA FORMAS DE MADEIRA, DE BASE OLEOSA EMULSIONADA EM AGUA </t>
  </si>
  <si>
    <t>L</t>
  </si>
  <si>
    <t>FRETE/M3</t>
  </si>
  <si>
    <t>00004509</t>
  </si>
  <si>
    <t xml:space="preserve">SARRAFO *2,5 X 10* CM EM PINUS, MISTA OU EQUIVALENTE DA REGIAO - BRUTA </t>
  </si>
  <si>
    <t xml:space="preserve">00004517 </t>
  </si>
  <si>
    <t xml:space="preserve">SARRAFO *2,5 X 7,5* CM EM PINUS, MISTA OU EQUIVALENTE DA REGIAO - BRUTA </t>
  </si>
  <si>
    <t>00005068</t>
  </si>
  <si>
    <t xml:space="preserve">PREGO DE ACO POLIDO COM CABECA 17 X 21 (2 X 11) </t>
  </si>
  <si>
    <t>R$/KM</t>
  </si>
  <si>
    <t>BALSA 1000 M3</t>
  </si>
  <si>
    <t>BRITA</t>
  </si>
  <si>
    <t xml:space="preserve">Argamassa de cimento e areia 1:4 </t>
  </si>
  <si>
    <t xml:space="preserve">AJUDANTE DE PEDREIRO COM ENCARGOS COMPLEMENTARES </t>
  </si>
  <si>
    <t>M3XKM</t>
  </si>
  <si>
    <t>U00020</t>
  </si>
  <si>
    <t xml:space="preserve">Meio-fio em concreto nas dimensões 0,30m x 0,12m - sem lâmina d'água </t>
  </si>
  <si>
    <t>M3</t>
  </si>
  <si>
    <t>CESAR EDUARDO MEDEIROS CANELAS FILHO</t>
  </si>
  <si>
    <t>ENG.CIVIL</t>
  </si>
  <si>
    <t>CREA-PA 1502763729</t>
  </si>
  <si>
    <t>DATA: 06/01/2022</t>
  </si>
  <si>
    <t>MAPA DE COTAÇÕES</t>
  </si>
  <si>
    <t>DISCRIMINAÇÃO</t>
  </si>
  <si>
    <t>EMRESA ALÍRIO FERRAGENS CNPJ: 08.905.700/0001-37</t>
  </si>
  <si>
    <t>EMRESA FERRAGENS TERRA SANTA CNPJ: 04.623.754/0001-59</t>
  </si>
  <si>
    <t>EMRESA L. SERRÃO GUERREIRO CNPJ: 43.723.715/0001-41</t>
  </si>
  <si>
    <t>PREÇO MÉDIO</t>
  </si>
  <si>
    <t>CIMENTO PORTLAND CPII Z 32 50 KG</t>
  </si>
  <si>
    <t>PREÇO / KG</t>
  </si>
  <si>
    <t>PAVIMENTAÇÃO EM CONCRETO DE VIAS URBANAS</t>
  </si>
  <si>
    <t>LOGRADOURO</t>
  </si>
  <si>
    <t>PERÍMETRO</t>
  </si>
  <si>
    <t>EXTENSÃO (M)</t>
  </si>
  <si>
    <t>LARGURA (M)</t>
  </si>
  <si>
    <t>ÁREA (M²)</t>
  </si>
  <si>
    <t>Rua 4</t>
  </si>
  <si>
    <t>TV.Nssa. Sra. Fatima e Coronel Gama</t>
  </si>
  <si>
    <t>Rua 5</t>
  </si>
  <si>
    <t>TV.Nssa. Sra. Fatima e Sta Terezinha</t>
  </si>
  <si>
    <t>Rua 6</t>
  </si>
  <si>
    <t>Rua 7</t>
  </si>
  <si>
    <t>Rua 8</t>
  </si>
  <si>
    <t>Rua 9</t>
  </si>
  <si>
    <t>Rua 10</t>
  </si>
  <si>
    <t>Rua 11</t>
  </si>
  <si>
    <t>Rua 12</t>
  </si>
  <si>
    <t>Rua 13</t>
  </si>
  <si>
    <t>TV.  Nubia Bentes e Nssa. Sra de Fatima</t>
  </si>
  <si>
    <t>Rua 14</t>
  </si>
  <si>
    <t>TV. 5 de outubro e PA441</t>
  </si>
  <si>
    <t xml:space="preserve">Trav. 5 de outubro </t>
  </si>
  <si>
    <t>Rua 13 e Rua 14</t>
  </si>
  <si>
    <t xml:space="preserve">Beco ao lado do campo Cidade Nova </t>
  </si>
  <si>
    <t>Rua 11 e Rua 13</t>
  </si>
  <si>
    <t>Beco atrás da garagem</t>
  </si>
  <si>
    <t>Rua 12 e Rua 13</t>
  </si>
  <si>
    <t xml:space="preserve">Trav. Nssa. Sra de Fatima </t>
  </si>
  <si>
    <t>Rua 10 a Rua 13</t>
  </si>
  <si>
    <t xml:space="preserve">Trav. Nssa. Sra de Nazaré </t>
  </si>
  <si>
    <t>Rua 03 a Rua 13</t>
  </si>
  <si>
    <t>Trav. Coronel Gama</t>
  </si>
  <si>
    <t>Trav. Santa Terezinha</t>
  </si>
  <si>
    <t>Rua 03 a Rua 05</t>
  </si>
  <si>
    <t xml:space="preserve">Trav. 01 Conquista </t>
  </si>
  <si>
    <t xml:space="preserve"> Rua 7 a Rua 12</t>
  </si>
  <si>
    <t>Trav. 02 Conquista</t>
  </si>
  <si>
    <t xml:space="preserve">Trav. 03 Conquista </t>
  </si>
  <si>
    <t>Rua 7 a Porto Grande</t>
  </si>
  <si>
    <t xml:space="preserve">Trav. 01 casas populares </t>
  </si>
  <si>
    <t xml:space="preserve">Rua Nilo Coelho a Rua da Vitória </t>
  </si>
  <si>
    <t xml:space="preserve">Trav. 02 casas populares </t>
  </si>
  <si>
    <t xml:space="preserve">Trav. 03 casas populares </t>
  </si>
  <si>
    <t>Rua Nilo Coelho a Av. Porto Grande</t>
  </si>
  <si>
    <t>Beco do Matias</t>
  </si>
  <si>
    <t>Trav. 02 Pousada</t>
  </si>
  <si>
    <t xml:space="preserve">Av. Porto Grande a Porto do Noe </t>
  </si>
  <si>
    <t xml:space="preserve">Av. Porto Grande </t>
  </si>
  <si>
    <t xml:space="preserve">PA441 a Porto Edmar </t>
  </si>
  <si>
    <t xml:space="preserve">Rua 2 de março </t>
  </si>
  <si>
    <t xml:space="preserve">Trav. 01 Conquista a Trav. 03 Conquista </t>
  </si>
  <si>
    <t xml:space="preserve">Rua da Vitória </t>
  </si>
  <si>
    <t>PA441 a Trav.03 Conquista</t>
  </si>
  <si>
    <t xml:space="preserve">Rua 16 de Dezembro </t>
  </si>
  <si>
    <t xml:space="preserve">Rua Senador Nilo Coelho </t>
  </si>
  <si>
    <t>PA 441 e Trav. 02 Conquista</t>
  </si>
  <si>
    <t>Rua Juscelino Kubitscheck</t>
  </si>
  <si>
    <t xml:space="preserve">Trav. 02 Conquista a Trav. 03 Conquista </t>
  </si>
  <si>
    <t>Rua João Eleutério</t>
  </si>
  <si>
    <t xml:space="preserve">Rua São Benedito </t>
  </si>
  <si>
    <t xml:space="preserve">PA 441 a  Trav. 03 Conquista </t>
  </si>
  <si>
    <t>Rua Castelo Branco</t>
  </si>
  <si>
    <t xml:space="preserve">PA 441 a Trav. 03 Conquista </t>
  </si>
  <si>
    <t>Rua Barão do Rio Branco</t>
  </si>
  <si>
    <t>Rua 1- Conquista</t>
  </si>
  <si>
    <t>PA 441 a Trav. 03 Conquista</t>
  </si>
  <si>
    <t xml:space="preserve">Rua 2 - Conquista </t>
  </si>
  <si>
    <t xml:space="preserve">Rua 13 de dezembro </t>
  </si>
  <si>
    <t>Área da creche a trav. 03 Conquista</t>
  </si>
  <si>
    <t xml:space="preserve">Rua 3 - Conquista </t>
  </si>
  <si>
    <t xml:space="preserve">PA 441 a Trav. 03 Conquista  </t>
  </si>
  <si>
    <t xml:space="preserve">Rua 4 - Conquista </t>
  </si>
  <si>
    <t>Rua 5 - Conquista</t>
  </si>
  <si>
    <t xml:space="preserve">Rua 6 - Conquista </t>
  </si>
  <si>
    <t>Área do campo a Trav. 03</t>
  </si>
  <si>
    <t xml:space="preserve">Rua 7 - Conquista </t>
  </si>
  <si>
    <t>Rua 8 - Conquista</t>
  </si>
  <si>
    <t xml:space="preserve">PA 441 a Trav. 02 Conquista </t>
  </si>
  <si>
    <t xml:space="preserve">Rua 9 - Conquista </t>
  </si>
  <si>
    <t xml:space="preserve">Rua 10 - Conquista </t>
  </si>
  <si>
    <t xml:space="preserve">Rua 11 - Conquista </t>
  </si>
  <si>
    <t xml:space="preserve">Rua 12 - Conquista </t>
  </si>
  <si>
    <t xml:space="preserve">Rua 13- Conquista </t>
  </si>
  <si>
    <t xml:space="preserve">PA 441 a Trav. 01 Conquista </t>
  </si>
  <si>
    <t>Estrada Maria Lopes</t>
  </si>
  <si>
    <t>Rua 03 a Porto da maria Lopes</t>
  </si>
  <si>
    <t>TOTAL</t>
  </si>
  <si>
    <t>MEMORIA DE CÁLCULO</t>
  </si>
  <si>
    <t>Descrição</t>
  </si>
  <si>
    <t>Comprimento</t>
  </si>
  <si>
    <t>Largura</t>
  </si>
  <si>
    <t>Parcial</t>
  </si>
  <si>
    <t>Área Externa</t>
  </si>
  <si>
    <t>Total</t>
  </si>
  <si>
    <t>Quantidade</t>
  </si>
  <si>
    <t>Área Externa- Identificação da obra</t>
  </si>
  <si>
    <t>Vias contempladas</t>
  </si>
  <si>
    <t>Mobilização de canteiro de obras</t>
  </si>
  <si>
    <t>Desmobilização de canteiro de obras</t>
  </si>
  <si>
    <t>Equipe técnica canteiro de obras</t>
  </si>
  <si>
    <t>Espessura</t>
  </si>
  <si>
    <t>Lados</t>
  </si>
  <si>
    <t>CRONOGRAMA FÍSICO FINANCEIRO</t>
  </si>
  <si>
    <t>PERÍODO E VALOR</t>
  </si>
  <si>
    <t>%</t>
  </si>
  <si>
    <t>R$ SIMPLES</t>
  </si>
  <si>
    <t>% SIMPLES</t>
  </si>
  <si>
    <t>R$ ACUMULADO</t>
  </si>
  <si>
    <t>% ACUMULADO</t>
  </si>
  <si>
    <t>COMPOSIÇÃO DE BDI-ONERADO</t>
  </si>
  <si>
    <t>CUSTOS INDIRETOS</t>
  </si>
  <si>
    <t>Administração Central</t>
  </si>
  <si>
    <t>Seguros + Garantia</t>
  </si>
  <si>
    <t>Riscos</t>
  </si>
  <si>
    <t>1.4</t>
  </si>
  <si>
    <t>Despesas Financeiras</t>
  </si>
  <si>
    <t>TRIBUTOS</t>
  </si>
  <si>
    <t>Pis</t>
  </si>
  <si>
    <t>Cofins</t>
  </si>
  <si>
    <t>2.3</t>
  </si>
  <si>
    <t xml:space="preserve">ISS </t>
  </si>
  <si>
    <t>2.4</t>
  </si>
  <si>
    <t>CPRB</t>
  </si>
  <si>
    <t>LUCRO</t>
  </si>
  <si>
    <t>Lucro</t>
  </si>
  <si>
    <t>TAXA TOTAL DE BDI</t>
  </si>
  <si>
    <t>Segundo Acórdão 2622/2013 do Tribunal de Contas da União – TCU, o cálculo do BDI deve ser feito da seguinte maneira:</t>
  </si>
  <si>
    <t>AC → Administração Central</t>
  </si>
  <si>
    <t>S → Seguro</t>
  </si>
  <si>
    <t xml:space="preserve">R → Riscos </t>
  </si>
  <si>
    <t>G → Garantia</t>
  </si>
  <si>
    <t>DF → Despesas Financeiras</t>
  </si>
  <si>
    <t>L → Taxa de Lucro/Remuneração</t>
  </si>
  <si>
    <t>I → Incidência de Impostos (PIS, COFINS e ISS)</t>
  </si>
  <si>
    <t>COMPOSIÇÃO DE ENCARGOS SOCIAIS-ONERADO</t>
  </si>
  <si>
    <t>HORISTA %</t>
  </si>
  <si>
    <t>MENSALISTA %</t>
  </si>
  <si>
    <t xml:space="preserve">GRUPO A 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</si>
  <si>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</si>
  <si>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</si>
  <si>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</si>
  <si>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</si>
  <si>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</si>
  <si>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</si>
  <si>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</si>
  <si>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</si>
  <si>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</si>
  <si>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</si>
  <si>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</si>
  <si>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</si>
  <si>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</si>
  <si>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</si>
  <si>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</si>
  <si>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</si>
  <si>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</si>
  <si>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</si>
  <si>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</si>
  <si>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 xml:space="preserve">GRUPO B </t>
  </si>
  <si>
    <t>B1</t>
  </si>
  <si>
    <t>Repouso Semanal Renumerado</t>
  </si>
  <si>
    <t>Não Inside</t>
  </si>
  <si>
    <t>B2</t>
  </si>
  <si>
    <t>Feriados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</si>
  <si>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</si>
  <si>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</si>
  <si>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</si>
  <si>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</si>
  <si>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</si>
  <si>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</si>
  <si>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</si>
  <si>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</si>
  <si>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</si>
  <si>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</si>
  <si>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</si>
  <si>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</si>
  <si>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</si>
  <si>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</si>
  <si>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</si>
  <si>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</si>
  <si>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</si>
  <si>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</si>
  <si>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</si>
  <si>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</si>
  <si>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</si>
  <si>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</si>
  <si>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</si>
  <si>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</si>
  <si>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</si>
  <si>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</si>
  <si>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</si>
  <si>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</si>
  <si>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</si>
  <si>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</si>
  <si>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</si>
  <si>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 xml:space="preserve">Reincidência de Grupo A sobre Grupo B </t>
  </si>
  <si>
    <t>D2</t>
  </si>
  <si>
    <t xml:space="preserve">Reincidência de Grupo A sobre Aviso Prévio Trabalhado e Reincidência do FGTS sobre Aviso Prévio Indenizado </t>
  </si>
  <si>
    <t>D</t>
  </si>
  <si>
    <t>TOTAL(A+B+C+D)</t>
  </si>
  <si>
    <t>O PRESENTE BOLETIM DE MEDIÇÃO É DE R$ 200.737,20 (DUZENTOS MIL, SETECENTOS E TRINTA E SETE REAIS E VINTE CENTAVOS)</t>
  </si>
  <si>
    <t>Lona tensionada</t>
  </si>
  <si>
    <t>UNID=m2</t>
  </si>
  <si>
    <t>COMPONENTE</t>
  </si>
  <si>
    <t>UNID</t>
  </si>
  <si>
    <t>CONSUMO</t>
  </si>
  <si>
    <t>R$/UNT.</t>
  </si>
  <si>
    <t>R$</t>
  </si>
  <si>
    <t>00002700</t>
  </si>
  <si>
    <t>MONTADOR</t>
  </si>
  <si>
    <t>-</t>
  </si>
  <si>
    <t>LONA PLÁSTICA P/ COBERTURA C/ ILHOS DE ALUMÍNIO</t>
  </si>
  <si>
    <t>M²</t>
  </si>
  <si>
    <t>MATERIAL</t>
  </si>
  <si>
    <t>MÃO DE OBRA</t>
  </si>
  <si>
    <t xml:space="preserve">Peitoril em granito L= 15x2,5 cm </t>
  </si>
  <si>
    <t>00006111</t>
  </si>
  <si>
    <t>SERVENTE</t>
  </si>
  <si>
    <t>00004750</t>
  </si>
  <si>
    <t>PEDREIRO</t>
  </si>
  <si>
    <t>00000370</t>
  </si>
  <si>
    <t>AREIA MÉDIA</t>
  </si>
  <si>
    <t>M2</t>
  </si>
  <si>
    <t>00001106</t>
  </si>
  <si>
    <t>CAL HIDRATADA</t>
  </si>
  <si>
    <t>00001379</t>
  </si>
  <si>
    <t>CIMENTO</t>
  </si>
  <si>
    <t>00011795</t>
  </si>
  <si>
    <t>PEITORIL DE GRANITO CINZA POLIDO</t>
  </si>
  <si>
    <t xml:space="preserve">M2 </t>
  </si>
  <si>
    <t>Soleira em granito L= 15x2,5 cm</t>
  </si>
  <si>
    <t>UNID=ml</t>
  </si>
  <si>
    <t>SOLEIRA DE GRANITO CINZA POLIDO</t>
  </si>
  <si>
    <t>09.04</t>
  </si>
  <si>
    <t>Caixa para ar condicionado</t>
  </si>
  <si>
    <t>UNID=m²</t>
  </si>
  <si>
    <t>00011638</t>
  </si>
  <si>
    <t>Caixa de concreto p/ ar condicionado de 18.000BTU's</t>
  </si>
  <si>
    <t>Unid.</t>
  </si>
  <si>
    <t>11.03</t>
  </si>
  <si>
    <t>Cabo 10,0 mm²</t>
  </si>
  <si>
    <t>UNID=m</t>
  </si>
  <si>
    <t>00006113</t>
  </si>
  <si>
    <t>AJUDANTE</t>
  </si>
  <si>
    <t>00002436</t>
  </si>
  <si>
    <t>ELETRICISTA</t>
  </si>
  <si>
    <t>00001020</t>
  </si>
  <si>
    <t>CABO DE 10.0 mm2</t>
  </si>
  <si>
    <t xml:space="preserve">M </t>
  </si>
  <si>
    <t>MURO EM ALVENARIA</t>
  </si>
  <si>
    <t>UNID=M</t>
  </si>
  <si>
    <t>73954/002</t>
  </si>
  <si>
    <t>ACRÍLICA EXTERNA S/ MASSA E SELADOR</t>
  </si>
  <si>
    <t>68051</t>
  </si>
  <si>
    <t>LOCAÇÃO</t>
  </si>
  <si>
    <t>72209</t>
  </si>
  <si>
    <t>REMOÇÃO DE ENTULHO</t>
  </si>
  <si>
    <t>6430</t>
  </si>
  <si>
    <t>ESCAVAÇÃO MANUAL</t>
  </si>
  <si>
    <t>74164/003</t>
  </si>
  <si>
    <t>FUNDAÇÃO CORRIDA</t>
  </si>
  <si>
    <t>BALDRAME EM CONCRETO</t>
  </si>
  <si>
    <t>CONCRETO ARMADO</t>
  </si>
  <si>
    <t>73993/001</t>
  </si>
  <si>
    <t>Fôrma em tábuas de Madeira de 3ª p/ vigas e pilares incl. desforma</t>
  </si>
  <si>
    <t>73935/002</t>
  </si>
  <si>
    <t>ALVENARIA DE TIJOLO</t>
  </si>
  <si>
    <t>73928/002</t>
  </si>
  <si>
    <t>CHAPISCO</t>
  </si>
  <si>
    <t>REBOCO</t>
  </si>
  <si>
    <t>OBRA: CONSTRUÇÃO DA UBS - CONQUISTA</t>
  </si>
  <si>
    <t>EMPRESA: J.A.R. MACHADO &amp; CIA LTDA</t>
  </si>
  <si>
    <t>LICITAÇÃO: CONCORRÊNCIA 03/2023</t>
  </si>
  <si>
    <t>CONTRATO: 89/2023-PMTS</t>
  </si>
  <si>
    <t>R$ C/BDI</t>
  </si>
  <si>
    <t>PLACA DA OBRA EM CHAPA GALVANIZADA</t>
  </si>
  <si>
    <t>TAPUME COM CALHA METÁLICA. AF_05/2018</t>
  </si>
  <si>
    <t>BARRACÃO DA OBRA EM MADEIRA (INCL.INSTALAÇÕES)</t>
  </si>
  <si>
    <t>LOCAÇÃO CONVENCIONAL DA OBRA, UTILIZANDO GABARITO DE TÁBUAS CORRIDAS PONTALETADAS A CADA 2,00M - 2 UTILIZAÇÕES. AF_10/2018</t>
  </si>
  <si>
    <t>1.5</t>
  </si>
  <si>
    <t>EXECUÇÃO DE SANITÁRIOS E VESTIÁRIO EM CANTEIRO DE OBRA EM CHAPA DE MADEIRA COMPENSADA, NÃO INCLUSO MOBILIÁRIO.AF_02/2016</t>
  </si>
  <si>
    <t>MOBILIZAÇÃO DE CANTEIRO DE OBRAS</t>
  </si>
  <si>
    <t>DESMOBILIZAÇÃO DE CANTEIRO DE OBRAS</t>
  </si>
  <si>
    <t>MOVIMENTO DE TERRA</t>
  </si>
  <si>
    <t>CARGA, MANOBRA E DESCARGA DE ENTULHO EM CAMINHÃO BASCULANTE 6 M³ - CARGA COM ESCAVADEIRA HIDRÁULICA</t>
  </si>
  <si>
    <t>4.3</t>
  </si>
  <si>
    <t>4.4</t>
  </si>
  <si>
    <t>ATERRO MANUAL DE VALAS COM SOLO ARGILO-ARENOSO E COMPACTAÇÃO MECANIZADA</t>
  </si>
  <si>
    <t>5.0</t>
  </si>
  <si>
    <t>FUNDAÇÕES</t>
  </si>
  <si>
    <t>5.1</t>
  </si>
  <si>
    <t>LASTRO DE CONCRETO MAGRO, APLICADO EM BLOCOS DE COROAMENTO OU SAPATAS, ESPESSURA DE 5 CM. AF_08/2017</t>
  </si>
  <si>
    <t>5.2</t>
  </si>
  <si>
    <t xml:space="preserve"> COMPOSIÇÃO PARAMÉTRICA PARA EXECUÇÃO DE ESTRUTURAS DE CONCRETO ARMADO CONVENCIONAL, PARA EDIFICAÇÃO HABITACIONAL MULTIFAMILIAR (PRÉDIO), ATÉ 4 PAVIMENTOS, FCK = 25 MPA. AF_11/2022</t>
  </si>
  <si>
    <t>6.0</t>
  </si>
  <si>
    <t>ESTRUTURAS</t>
  </si>
  <si>
    <t>6.1</t>
  </si>
  <si>
    <t>6.2</t>
  </si>
  <si>
    <t>CONCRETO ARMADO PARA RUFOS</t>
  </si>
  <si>
    <t>7.0</t>
  </si>
  <si>
    <t>IMPERMEABILIZAÇÃO DE ESTRUTURAS</t>
  </si>
  <si>
    <t>7.1</t>
  </si>
  <si>
    <t>Impermeabilização de superfície com emulsão asfáltica, 2 demãos</t>
  </si>
  <si>
    <t>8.0</t>
  </si>
  <si>
    <t>ALVENARIA/REVESTIMENTO</t>
  </si>
  <si>
    <t>8.1</t>
  </si>
  <si>
    <t>ALVENARIA DE VEDAÇÃO DE BLOCOS CERÂMICOS FURADOS NA HORIZONTAL DE 9X19X29 CM (ESPESSURA 9 CM) E ARGAMASSA DE ASSENTAMENTO COM PREPARO EM BETONEIRA. AF_12/2021</t>
  </si>
  <si>
    <t>8.2</t>
  </si>
  <si>
    <t>CHAPISCO APLICADO EM ALVENARIAS E ESTRUTURAS DE CONCRETO INTERNAS, COM COLHER DE PEDREIRO. ARGAMASSA TRAÇO 1:3 COM PREPARO MANUAL. AF_06/2014</t>
  </si>
  <si>
    <t>8.3</t>
  </si>
  <si>
    <t>MASSA ÚNICA, PARA RECEBIMENTO DE PINTURA, EM ARGAMASSA TRAÇO 1:2:8, PREPARO MECÂNICO COM BETONEIRA 400L, APLICADA MANUALMENTE</t>
  </si>
  <si>
    <t>8.4</t>
  </si>
  <si>
    <t xml:space="preserve">EMBOÇO OU MASSA ÚNICA EM ARGAMASSA TRAÇO 1:2:8, PREPARO COM BETONEIRA, APLICADA MANUALMENTE EM PANOS CEGOS DE FACHADA, ESPESSURA DE 25 MM. </t>
  </si>
  <si>
    <t>8.5</t>
  </si>
  <si>
    <t xml:space="preserve">REVESTIMENTO CERÂMICO PARA PAREDES INTERNAS COM PLACAS TIPO ESMALTADA EXTRA DE DIMENSÕES 25X35 CM APLICADAS EM AMBIENTES DE ÁREA MAIOR QUE 5 M² NA ALTURA INTEIRA DAS PAREDES. AF_06/2014 </t>
  </si>
  <si>
    <t>9.0</t>
  </si>
  <si>
    <t>ESQUADRIAS/FERRAGENS/GRADES</t>
  </si>
  <si>
    <t>9.1</t>
  </si>
  <si>
    <t xml:space="preserve"> PORTA DE MADEIRA PARA PINTURA, SEMI-OCA (LEVE OU MÉDIA), 80X210CM, ESPESSURA DE 3,5CM, INCLUSO DOBRADIÇAS - FORNECIMENTO E INSTALAÇÃO. AF_12/2019</t>
  </si>
  <si>
    <t>9.2</t>
  </si>
  <si>
    <t>9.3</t>
  </si>
  <si>
    <t xml:space="preserve"> PORTA DE MADEIRA PARA PINTURA, SEMI-OCA (LEVE OU MÉDIA), 90X210CM, ESPESSURA DE 3,5CM, INCLUSO DOBRADIÇAS - FORNECIMENTO E INSTALAÇÃO. AF_12/2019</t>
  </si>
  <si>
    <t>9.4</t>
  </si>
  <si>
    <t>PORTÃO DE FERRO 1/2'' C/ FERRAGENS (INCL. PINT. ANTI-CORROSIVA)</t>
  </si>
  <si>
    <t>9.5</t>
  </si>
  <si>
    <t>Portão em grade c/ chapa de ferro 3/16" - incl. ferragens e pintura antiferruginosa</t>
  </si>
  <si>
    <t>9.6</t>
  </si>
  <si>
    <t>JANELA DE ALUMÍNIO TIPO MAXIM-AR, COM VIDROS, BATENTE E FERRAGENS, EXCLUSIVE ALIZAR, ACABAMENTO E CONTRAMARCO. FORNECIMENTO E INSTALAÇÃO. AF_12/2019</t>
  </si>
  <si>
    <t>9.7</t>
  </si>
  <si>
    <t>JANELA DE ALUMÍNIO DE CORRER COM 2 FOLHAS PARA VIDROS, COM VIDROS, BATENTE, ACABAMENTO COM ACETATO OU BRILHANTE E FERRAGENS. EXCLUSIVE ALIZAR E CONTRAMARCO. FORNECIMENTO E INSTALAÇÃO. AF_12/2019</t>
  </si>
  <si>
    <t>9.8</t>
  </si>
  <si>
    <t>SOLEIRA EM GRANITO, LARGURA 15 CM, ESPESSURA 2,0 CM. AF_09/2020</t>
  </si>
  <si>
    <t>9.9</t>
  </si>
  <si>
    <t>PEITORIL  EM GRANITO OU MÁRMORE, L = 15CM, COMPRIMENTO DE ATÉ 2M, ASSENTADO COM ARGAMASSA 1:6 COM ADITIVO. AF_11/2020</t>
  </si>
  <si>
    <t>9.10</t>
  </si>
  <si>
    <t>FECHADURA DE EMBUTIR PARA PORTAS INTERNAS, COMPLETA, ACABAMENTO PADRÃO POPULAR, COM EXECUÇÃO DE FURO - FORNECIMENTO E INSTALAÇÃO. AF_12/2019</t>
  </si>
  <si>
    <t>9.11</t>
  </si>
  <si>
    <t>FECHADURA DE EMBUTIR COM CILINDRO, EXTERNA</t>
  </si>
  <si>
    <t>10.0</t>
  </si>
  <si>
    <t>COBERTURA/CALHA/RUFO/FORRO</t>
  </si>
  <si>
    <t>10.1</t>
  </si>
  <si>
    <t>TRAMA DE MADEIRA COMPOSTA POR RIPAS, CAIBROS E TERÇAS PARA TELHADOS DE ATÉ 2 ÁGUAS PARA TELHA CERÂMICA CAPA-CANAL, INCLUSO TRANSPORTE VERTICAL. AF_07/2019</t>
  </si>
  <si>
    <t>10.2</t>
  </si>
  <si>
    <t>TELHAMENTO COM TELHA CERÂMICA CAPA-CANAL, TIPO PLAN, COM MAIS DE 2 ÁGUAS, INCLUSO TRANSPORTE VERTICAL</t>
  </si>
  <si>
    <t>10.3</t>
  </si>
  <si>
    <t xml:space="preserve">PINTURA IMUNIZANTE PARA MADEIRA, 2 DEMÃOS. </t>
  </si>
  <si>
    <t>10.4</t>
  </si>
  <si>
    <t>COBERTURA EM POLICARBONATO FUMÊ - INCL. ESTR. METÁLICA</t>
  </si>
  <si>
    <t>10.5</t>
  </si>
  <si>
    <t>FORRO DE PVC, LISO, PARA AMBIENTES COMERCIAIS, INCLUSIVE ESTRUTURA DE FIXAÇÃO.</t>
  </si>
  <si>
    <t>10.6</t>
  </si>
  <si>
    <t>CALHA EM CHAPA DE AÇO GALVANIZADO NÚMERO 24, DESENVOLVIMENTO DE 50 CM, INCLUSO TRANSPORTE VERTICAL.</t>
  </si>
  <si>
    <t>10.7</t>
  </si>
  <si>
    <t>RUFO EM CHAPA DE AÇO GALVANIZADO NÚMERO 24, CORTE DE 33 CM</t>
  </si>
  <si>
    <t>10.8</t>
  </si>
  <si>
    <t>CUMEEIRA E ESPIGÃO PARA TELHA CERÂMICA EMBOÇADA COM ARGAMASSA TRAÇO 1:2:9 (CIMENTO, CAL E AREIA), PARA TELHADOS COM MAIS DE 2 ÁGUAS INCLUSO TRANSPORTE VERTICAL. AF_07/2019</t>
  </si>
  <si>
    <t>11.0</t>
  </si>
  <si>
    <t>PISOS</t>
  </si>
  <si>
    <t>11.1</t>
  </si>
  <si>
    <t>CONTRAPISO EM ARGAMASSA TRAÇO 1:4 (CIM E AREIA), EM BETONEIRA 400 L, ESPESSURA 3 CM ÁREAS SECAS E 3 CM ÁREAS MOLHADAS, PARA EDIFICAÇÃO HABITACIONAL UNIFAMILIAR (CASA) E EDIFICAÇÃO PÚBLICA PADRÃO. AF_11/2014</t>
  </si>
  <si>
    <t>11.2</t>
  </si>
  <si>
    <t xml:space="preserve">IMPERMEABILIZAÇÃO DE PISO COM ARGAMASSA DE CIMENTO E AREIA, COM ADITIVO IMPERMEABILIZANTE, E = 2CM. </t>
  </si>
  <si>
    <t>11.3</t>
  </si>
  <si>
    <t>REVESTIMENTO CERÂMICO PARA PISO COM PLACAS TIPO ESMALTADA PADRÃO POPULAR DE DIMENSÕES 35X35 CM APLICADA EM AMBIENTES DE ÁREA MAIOR QUE 10 M2. AF_06/2014</t>
  </si>
  <si>
    <t>11.4</t>
  </si>
  <si>
    <t>RODAPÉ CERÂMICO DE 7CM DE ALTURA COM PLACAS TIPO ESMALTADA EXTRA DE DIMENSÕES 35X35CM. AF_06/2014</t>
  </si>
  <si>
    <t>11.5</t>
  </si>
  <si>
    <t xml:space="preserve">EXECUÇÃO DE PASSEIO (CALÇADA) OU PISO DE CONCRETO COM CONCRETO MOLDADO IN LOCO, FEITO EM OBRA, ACABAMENTO CONVENCIONAL, ESPESSURA 6 CM, ARMADO. AF_08/2022 </t>
  </si>
  <si>
    <t>11.7</t>
  </si>
  <si>
    <t>GUIA (MEIO-FIO) E SARJETA CONJUGADOS DE CONCRETO, MOLDADA IN LOCO EM TRECHO RETO COM EXTRUSORA, 45CM BASE (15 CM BASE DA GUI + 30 CM BASE DA SARJETA) X22 CM ALTURA. AF_06/2016</t>
  </si>
  <si>
    <t>12.0</t>
  </si>
  <si>
    <t>INSTALAÇÕES ELÉTRICAS</t>
  </si>
  <si>
    <t>12.1</t>
  </si>
  <si>
    <t>PONTO DE ILUMINAÇÃO RESIDENCIAL INCLUINDO, CAIXA ELÉTRICA, ELETRODUTO, CABO, RASGO, QUEBRA E CHUMBAMENTO (EXCLUINDO LUMINÁRIA, LÂMPADA E INTERRUPTOR). AF_01/2016</t>
  </si>
  <si>
    <t>12.2</t>
  </si>
  <si>
    <t>LUMINÁRIA TIPO CALHA DE SOBREPOR, COM 1 LÂMPADA TUBULAR FLUORESCENTE DE 20W, COM REATOR DE PARTIDA CONVENCIONAL - FORNECIMENTO E INSTALAÇÃO. AF_02/2022</t>
  </si>
  <si>
    <t>12.3</t>
  </si>
  <si>
    <t>INTERRUPTOR SIMPLES (1 MÓDULO) COM 1 TOMADA DE EMBUTIR 2P+T 10A, INCLUINDO SUPORTE E PLACA - FORNECIMENTO E INSTALAÇÃO. AF_12/2015</t>
  </si>
  <si>
    <t>12.4</t>
  </si>
  <si>
    <t>INTERRUPTOR SIMPLES (1 MÓDULO), 10A/250V, INCLUINDO SUPORTE E PLACA - FORNECIMENTO E INSTALAÇÃO. AF_12/2015</t>
  </si>
  <si>
    <t>12.5</t>
  </si>
  <si>
    <t>INTERRUPTOR SIMPLES (2 MÓDULOS) 10A/250V, INCLUINDO SUPORTE E PLACA - FORNECIMENTO E INSTALAÇÃO. AF_12/2015</t>
  </si>
  <si>
    <t>12.6</t>
  </si>
  <si>
    <t>INTERRUPTOR SIMPLES (3 MÓDULOS) 10A/250V, INCLUINDO SUPORTE E PLACA - FORNECIMENTO E INSTALAÇÃO. AF_12/2015</t>
  </si>
  <si>
    <t>12.7</t>
  </si>
  <si>
    <t>TOMADA MÉDIA DE EMBUTIR (1 MÓDULO), 2P+T 10A, INCLUINDO SUPORTE E PLACA - FORNECIMENTO E INSTALAÇÃO. AF_12/2015</t>
  </si>
  <si>
    <t>12.8</t>
  </si>
  <si>
    <t>TOMADA BAIXA DE EMBUTIR (1 MÓDULO), 2P+T 10A, INCLUINDO SUPORTE E PLACA - FORNECIMENTO E INSTALAÇÃO. AF_12/2015</t>
  </si>
  <si>
    <t>12.9</t>
  </si>
  <si>
    <t xml:space="preserve"> TOMADA ALTA DE EMBUTIR (1 MÓDULO), 2P+T 10 A, INCLUINDO SUPORTE E PLACA - FORNECIMENTO E INSTALAÇÃO. AF_12/2015</t>
  </si>
  <si>
    <t>12.10</t>
  </si>
  <si>
    <t>Tomada de piso 3P+T - 4"x2"</t>
  </si>
  <si>
    <t>12.11</t>
  </si>
  <si>
    <t>Ponto p/ar condicionado(tubul.,cj.airstop e fiaçao)</t>
  </si>
  <si>
    <t xml:space="preserve"> PT</t>
  </si>
  <si>
    <t>12.12</t>
  </si>
  <si>
    <t>Ponto de dreno p/ split (10m)</t>
  </si>
  <si>
    <t>pt</t>
  </si>
  <si>
    <t>12.13</t>
  </si>
  <si>
    <t>DISJUNTOR MONOPOLAR TIPO DIN, CORRENTE NOMINAL DE 16A - FORNECIMENTO E INSTALAÇÃO. AF_10/2020</t>
  </si>
  <si>
    <t>12.14</t>
  </si>
  <si>
    <t xml:space="preserve"> DISJUNTOR MONOPOLAR TIPO DIN, CORRENTE NOMINAL DE 25A - FORNECIMENTO E INSTALAÇÃO. AF_10/2020</t>
  </si>
  <si>
    <t>12.15</t>
  </si>
  <si>
    <t>DISJUNTOR BIPOLAR TIPO DIN, CORRENTE NOMINAL DE 25A - FORNECIMENTO E INSTALAÇÃO. AF_10/2020</t>
  </si>
  <si>
    <t>12.16</t>
  </si>
  <si>
    <t>Disjuntor 3P - 63 a 100A - PADRÃO DIN</t>
  </si>
  <si>
    <t>12.17</t>
  </si>
  <si>
    <t>QUADRO DE DISTRIBUIÇÃO DE ENERGIA EM CHAPA DE AÇO GALVANIZADO, DE EMBUTIR, COM BARRAMENTO TRIFÁSICO, PARA 40 DISJUNTORES DIN 100A - FORNECIMENTO E INSTALAÇÃO. AF_10/2020</t>
  </si>
  <si>
    <t>12.18</t>
  </si>
  <si>
    <t>CABO DE COBRRE FLEXÍVEL ISOLADO, 2,5 MM², ANTI-CHAMA 450/750KV, PARA CIRCUITOS TERMINAIS - FORNECIMENTO E INSTALAÇÃO. AF_12/2015</t>
  </si>
  <si>
    <t>12.19</t>
  </si>
  <si>
    <t>CABO DE COBRRE FLEXÍVEL ISOLADO, 4 MM², ANTI-CHAMA 450/750KV, PARA CIRCUITOS TERMINAIS - FORNECIMENTO E INSTALAÇÃO. AF_12/2015</t>
  </si>
  <si>
    <t>12.20</t>
  </si>
  <si>
    <t>CABO DE COBRRE FLEXÍVEL ISOLADO, 16 MM², ANTI-CHAMA 450/750KV, PARA CIRCUITOS TERMINAIS - FORNECIMENTO E INSTALAÇÃO. AF_12/2015</t>
  </si>
  <si>
    <t>12.21</t>
  </si>
  <si>
    <t>ELETRODUTO FLEXÍVEL CORRUGADO REFORÇADO, PVC, DN 25 MM (3/4"), PARA CIRCUITOS TERMINAIS, INSTALADO EM FORRO - FORNECIMENTO E INSTALAÇÃO. AF_12/2015</t>
  </si>
  <si>
    <t>13.0</t>
  </si>
  <si>
    <t>INSTALAÇÕES HIDROSANITÁRIAS</t>
  </si>
  <si>
    <t>13.1</t>
  </si>
  <si>
    <t>TUBO, PVC, SOLDÁVEL, DN 20MM, INSTALADO EM RAMAL DE DISTRIBUIÇÃO DE ÁGUA - FORNECIMENTO E INSTALAÇÃO. AF_06/2022</t>
  </si>
  <si>
    <t>13.2</t>
  </si>
  <si>
    <t>TUBO, PVC, SOLDÁVEL, DN 25MM, INSTALADO EM RAMAL DE DISTRIBUIÇÃO DE ÁGUA - FORNECIMENTO E INSTALAÇÃO. AF_06/2022</t>
  </si>
  <si>
    <t>13.3</t>
  </si>
  <si>
    <t>TUBO, PVC, SOLDÁVEL, DN 32MM, INSTALADO EM RAMAL DE DISTRIBUIÇÃO DE ÁGUA - FORNECIMENTO E INSTALAÇÃO. AF_06/2022</t>
  </si>
  <si>
    <t>13.4</t>
  </si>
  <si>
    <t>TUBO PVC, SERIE NORMAL, ESGOTO PREDIAL, DN 40 MM, FORNECIDO E INSTALADO EM RAMAL DE DESCARGA OU RAMAL DE ESGOTO SANITÁRIO. AF_08/2022</t>
  </si>
  <si>
    <t>13.5</t>
  </si>
  <si>
    <t>TUBO PVC, SERIE NORMAL, ESGOTO PREDIAL, DN 50 MM, FORNECIDO E INSTALADO EM RAMAL DE DESCARGA OU RAMAL DE ESGOTO SANITÁRIO. AF_08/2022</t>
  </si>
  <si>
    <t>13.6</t>
  </si>
  <si>
    <t>TUBO PVC, SERIE NORMAL, ESGOTO PREDIAL, DN 75 MM, FORNECIDO E INSTALADO EM RAMAL DE DESCARGA OU RAMAL DE ESGOTO SANITÁRIO. AF_08/2022</t>
  </si>
  <si>
    <t>13.7</t>
  </si>
  <si>
    <t>TUBO PVC, SERIE NORMAL, ESGOTO PREDIAL, DN 100 MM, FORNECIDO E INSTALADO EM RAMAL DE DESCARGA OU RAMAL DE ESGOTO SANITÁRIO. AF_08/2022</t>
  </si>
  <si>
    <t>13.8</t>
  </si>
  <si>
    <t>JOELHO 90 GRAUS, PVC, SOLDÁVEL, DN 20MM, INSTALADO EM RAMAL DE DISTRIBUIÇÃO DE ÁGUA - FORNECIMENTO E INSTALAÇÃO. </t>
  </si>
  <si>
    <t>13.9</t>
  </si>
  <si>
    <t>JOELHO 90 GRAUS, PVC, SOLDÁVEL, DN 25MM, INSTALADO EM RAMAL DE DISTRIBUIÇÃO DE ÁGUA - FORNECIMENTO E INSTALAÇÃO. </t>
  </si>
  <si>
    <t>13.10</t>
  </si>
  <si>
    <t xml:space="preserve"> JOELHO DE REDUÇÃO, 90 GRAUS, PVC, SOLDÁVEL, DN 25 MM X 20 MM, INSTALADO EM RAMAL DE DISTRIBUIÇÃO DE ÁGUA - FORNECIMENTO E INSTALAÇÃO. AF_06/2022</t>
  </si>
  <si>
    <t>13.11</t>
  </si>
  <si>
    <t>JOELHO DE REDUÇÃO, 90 GRAUS, PVC, SOLDÁVEL, DN 32 MM X 25 MM, INSTALADO EM PRUMADA DE ÁGUA - FORNECIMENTO E INSTALAÇÃO. AF_06/2022</t>
  </si>
  <si>
    <t>13.12</t>
  </si>
  <si>
    <t>TÊ DE REDUÇÃO, PVC, SOLDÁVEL, DN 25MM X 20MM, INSTALADO EM RAMAL DE DISTRIBUIÇÃO DE ÁGUA - FORNECIMENTO E INSTALAÇÃO. AF_06/2022</t>
  </si>
  <si>
    <t>13.13</t>
  </si>
  <si>
    <t>JOELHO PVC, SOLDAVEL, COM BUCHA DE LATAO, 90 GRAUS, 20 MM X 1/2", PARA AGUA FRIA PREDIAL - FORNECIMENTO E INSTALAÇÃO</t>
  </si>
  <si>
    <t>13.14</t>
  </si>
  <si>
    <t>REGISTRO DE PRESSÃO BRUTO, LATÃO, ROSCÁVEL, 1/2" - FORNECIMENTO E INSTALAÇÃO. AF_08/2021</t>
  </si>
  <si>
    <t>13.15</t>
  </si>
  <si>
    <t>REGISTRO DE GAVETA BRUTO, LATÃO, ROSCÁVEL, 3/4", COM ACABAMENTO E CANOPLA CROMADOS - FORNECIMENTO E INSTALAÇÃO. AF_08/2021</t>
  </si>
  <si>
    <t>13.16</t>
  </si>
  <si>
    <t>JOELHO 90 GRAUS, PVC, SERIE NORMAL, ESGOTO PREDIAL, DN 100 MM, JUNTA ELÁSTICA, FORNECIDO E INSTALADO EM RAMAL DE DESCARGA OU RAMAL DE ESGOTO SANITÁRIO.</t>
  </si>
  <si>
    <t>13.17</t>
  </si>
  <si>
    <t>JOELHO 90 GRAUS, PVC, SERIE NORMAL, ESGOTO PREDIAL, DN 50 MM, JUNTA ELÁSTICA, FORNECIDO E INSTALADO EM RAMAL DE DESCARGA OU RAMAL DE ESGOTO SANITÁRIO.</t>
  </si>
  <si>
    <t>13.18</t>
  </si>
  <si>
    <t xml:space="preserve"> TE, PVC, SERIE NORMAL, ESGOTO PREDIAL, DN 40 X 40 MM, JUNTA SOLDÁVEL, FORNECIDO E INSTALADO EM RAMAL DE DESCARGA OU RAMAL DE ESGOTO SANITÁRIO. AF_08/2022</t>
  </si>
  <si>
    <t>13.19</t>
  </si>
  <si>
    <t>RALO SIFONADO, PVC, DN 100 X 40MM, JUNTA SOLDÁVEL, FORNECIDO E INSTALADO EM RAMAL DE DESCARGA OU EM RAMAL DE ESGOTO SANITÁRIO. AF_08/2022</t>
  </si>
  <si>
    <t>13.20</t>
  </si>
  <si>
    <t xml:space="preserve"> Caixa em alvenaria de 60x60x60cm c/ tpo. Concreto</t>
  </si>
  <si>
    <t>13.21</t>
  </si>
  <si>
    <t>TANQUE SÉPTICO RETANGULAR, EM ALVENARIA COM TIJOLOS CERÂMICOS MACIÇOS. DIMENSÕES INTERNAS: 1,2 X 2,4 X H=1,6M, VOLUME ÚTIL:4456 L (PARA 13 CONTRIBUINTES). AF_12/2020</t>
  </si>
  <si>
    <t>13.22</t>
  </si>
  <si>
    <t>SUMIDOURO RETANGULAR, EM ALVENARIA COM BLOCOS DE CONCRETO, DIMENSÕES INTERNAS: 0,8 X 1,4 X H=3,0M, ÁREA DE INFILTRAÇÃO 31,M² (PARA 5 CONTRIBUINTES)</t>
  </si>
  <si>
    <t>14.0</t>
  </si>
  <si>
    <t>LOUÇAS/METAIS/BANCADAS</t>
  </si>
  <si>
    <t>14.1</t>
  </si>
  <si>
    <t>VASO SANITÁRIO SIFONADO COM CAIXA ACOPLADA LOUÇA BRANCA - FORNECIMENTO E INSTALAÇÃO. AF_01/2020</t>
  </si>
  <si>
    <t>14.2</t>
  </si>
  <si>
    <t>ASSENTO SANITÁRIO CONVENCIONAL - FORNECIMENTO E INSTALACAO. AF_01/2020</t>
  </si>
  <si>
    <t>14.3</t>
  </si>
  <si>
    <t>LAVATÓRIO LOUÇA BRANCA COM COLUNA, 45 X 55CM OU EQUIVALENTE, PADRÃO MÉDIO, INCLUSO SIFÃO TIPO GARRAFA, VÁLVULA E ENGATE FLEXÍVEL DE 40CM EM METAL CROMADO, COM TORNEIRA CROMADA DE MESA, PADRÃO MÉDIO - FORNECIMENTO E INSTALAÇÃO. AF_01/2020</t>
  </si>
  <si>
    <t>14.4</t>
  </si>
  <si>
    <t>PORTA PAPEL HIGIÊNICO - POLIPROPILENO</t>
  </si>
  <si>
    <t>14.5</t>
  </si>
  <si>
    <t>BANCADA EM GRANITO POLIDO C/CUBA INOX, INCL. VÁLVULA, SIFÃO E TORNEIRA, FORNECIMENTO E INSTALAÇÃO.</t>
  </si>
  <si>
    <t>14.6</t>
  </si>
  <si>
    <t xml:space="preserve">SABONETEIRA PLASTICA TIPO DISPENSER PARA SABONETE LIQUIDO COM RESERVATORIO 800 A 1500 ML, INCLUSO FIXAÇÃO. </t>
  </si>
  <si>
    <t>14.7</t>
  </si>
  <si>
    <t>BARRA DE APOIO RETA, EM ACO INOX POLIDO, COMPRIMENTO 70 CM, FIXADA NA PAREDE - FORNECIMENTO E INSTALAÇÃO. AF_01/2020</t>
  </si>
  <si>
    <t>14.8</t>
  </si>
  <si>
    <t>CHUVEIRO CROMADO</t>
  </si>
  <si>
    <t>14.9</t>
  </si>
  <si>
    <t>DUCHA HIGIÊNICA CROMADA</t>
  </si>
  <si>
    <t>14.10</t>
  </si>
  <si>
    <t>TORNEIRA CROMADA DE MESA, 1/2 OU 3/4, PARA LAVATÓRIO, PADRÃO MÉDIO - FORNECIMENTO E INSTALAÇÃO. AF_01/2020</t>
  </si>
  <si>
    <t>14.11</t>
  </si>
  <si>
    <t>Pia 01 cuba em aço inox c/torn.,sifao e valv.(1,50m)</t>
  </si>
  <si>
    <t>14.12</t>
  </si>
  <si>
    <t>Pia 02 cubas em aço inox.c/torn.,sifoes e valv.(2.0m)</t>
  </si>
  <si>
    <t>15.0</t>
  </si>
  <si>
    <t>URBANIZAÇÃO</t>
  </si>
  <si>
    <t>15.2</t>
  </si>
  <si>
    <t>ASSENTAMENTO DE GUIA (MEIO-FIO) EM TRECHO CURVO, CONFECCIONADA EM CONCRETO PRÉ-FABRICADO, DIMENSÕES 100X15X13X20 CM (COMPRIMENTO X BASE INFERIOR X BASE SUPERIOR X ALTURA), PARA URBANIZAÇÃO INTERNA DE EMPREENDIMENTOS. AF_06/2016</t>
  </si>
  <si>
    <t>15.3</t>
  </si>
  <si>
    <t>PLACA PISO TATIL DIRECIONAL 25x25cm AZUL/AMARELO/PRETO</t>
  </si>
  <si>
    <t>15.4</t>
  </si>
  <si>
    <t>PLACA PISO TATIL ALERTA 25x25 AZUL</t>
  </si>
  <si>
    <t>16.0</t>
  </si>
  <si>
    <t>PREVENÇÃO E COMBATE A  INCÊNDIO</t>
  </si>
  <si>
    <t>16.1</t>
  </si>
  <si>
    <t>Extintor de incêndio ABC - 6Kg</t>
  </si>
  <si>
    <t>16.2</t>
  </si>
  <si>
    <t>Placa de sinalização fotoluminoscente</t>
  </si>
  <si>
    <t>17.0</t>
  </si>
  <si>
    <t>PINTURA</t>
  </si>
  <si>
    <t>17.1</t>
  </si>
  <si>
    <t>APLICAÇÃO DE FUNDO SELADOR ACRÍLICO EM PAREDES, UMA DEMÃO. AF_06/2014</t>
  </si>
  <si>
    <t>17.2</t>
  </si>
  <si>
    <t>APLICAÇÃO E LIXAMENTO DE MASSA LÁTEX EM PAREDES, UMA DEMÃO. AF_06/2014</t>
  </si>
  <si>
    <t>17.3</t>
  </si>
  <si>
    <t>17.4</t>
  </si>
  <si>
    <t>PINTURA TINTA DE ACABAMENTO (PIGMENTADA) ESMALTE SINTÉTICO BRILHANTE EM MADEIRA, 2 DEMÃOS.</t>
  </si>
  <si>
    <t>17.5</t>
  </si>
  <si>
    <t xml:space="preserve"> PINTURA COM TINTA ALQUÍDICA DE ACABAMENTO (ESMALTE SINTÉTICO ACETINADO) APLICADA A ROLO OU PINCEL SOBRE SUPERFÍCIES METÁLICAS (EXCETO PERFIL) EXECUTADO EM OBRA (02 DEMÃOS). AF_01/2020</t>
  </si>
  <si>
    <t>18.0</t>
  </si>
  <si>
    <t>SERVIÇOS FINAIS</t>
  </si>
  <si>
    <t>18.1</t>
  </si>
  <si>
    <t>LIMPEZA GERAL E ENTREGA DA OBRA</t>
  </si>
  <si>
    <t>18.2</t>
  </si>
  <si>
    <t>Placa de inauguração em aço inox/letras bx. relevo- (40 x 30cm)</t>
  </si>
  <si>
    <t>O PRESENTE BOLETIM DE MEDIÇÃO É DE R$ 183.798,63 (CENTO E OITENTA E TRÊS MIL, SETECENTOS E NOVENTA E OITO REAIS E SESSENTA E TRÊS CENTAVOS)</t>
  </si>
  <si>
    <t>ENGª CIVIL PMTS - FISCAL DA OBRA</t>
  </si>
  <si>
    <t>MEMÓRIA DE CÁLCULO</t>
  </si>
  <si>
    <t>Comp</t>
  </si>
  <si>
    <t>Altura</t>
  </si>
  <si>
    <t>Perim</t>
  </si>
  <si>
    <t>Limite do terreno</t>
  </si>
  <si>
    <t>Barracão de obra</t>
  </si>
  <si>
    <t>Perím</t>
  </si>
  <si>
    <t>Quant</t>
  </si>
  <si>
    <t>UBS</t>
  </si>
  <si>
    <t>Equipe Técnica</t>
  </si>
  <si>
    <t>Sapatas (100X100)</t>
  </si>
  <si>
    <t>Viga baldrame V101</t>
  </si>
  <si>
    <t xml:space="preserve">Viga baldrame V102 </t>
  </si>
  <si>
    <t>Viga baldrame V103=V106=V108=V116=V118=V121</t>
  </si>
  <si>
    <t xml:space="preserve">Viga baldrame V104 </t>
  </si>
  <si>
    <t>Viga baldrame V105</t>
  </si>
  <si>
    <t>Viga baldrame V107=V117=V119=V122=V123</t>
  </si>
  <si>
    <t>Vigas baldrame V109=V115</t>
  </si>
  <si>
    <t>Vigas baldrame V110=V114</t>
  </si>
  <si>
    <t>Vigas baldrame V111=V113</t>
  </si>
  <si>
    <t>Vigas baldrame V112</t>
  </si>
  <si>
    <t>Vigas baldrame V120=V124</t>
  </si>
  <si>
    <t>Vigas baldrame V125</t>
  </si>
  <si>
    <t>Vigas baldrame V126</t>
  </si>
  <si>
    <t>Viga baldrame V127=V128=V129=V130=V131=V132</t>
  </si>
  <si>
    <t>Vigas baldrame V133=V134</t>
  </si>
  <si>
    <t>Vigas baldrame V135</t>
  </si>
  <si>
    <t>Vigas baldrame V136</t>
  </si>
  <si>
    <t>Vigas baldrame V137</t>
  </si>
  <si>
    <t>Vigas baldrame V138=V142</t>
  </si>
  <si>
    <t>Vigas baldrame V139=V140</t>
  </si>
  <si>
    <t>Vigas baldrame V143</t>
  </si>
  <si>
    <t>Vigas baldrame V144=V145</t>
  </si>
  <si>
    <t>Vigas baldrame V146</t>
  </si>
  <si>
    <t>Descriçãos</t>
  </si>
  <si>
    <t>Empolam.</t>
  </si>
  <si>
    <t>Fundação</t>
  </si>
  <si>
    <t>5.3</t>
  </si>
  <si>
    <t>Vol.Escavação</t>
  </si>
  <si>
    <t>Vol. Estrutura</t>
  </si>
  <si>
    <t>5.4</t>
  </si>
  <si>
    <t>Área</t>
  </si>
  <si>
    <t>Copa</t>
  </si>
  <si>
    <t>Expurgo</t>
  </si>
  <si>
    <t>Sala de Esterelização</t>
  </si>
  <si>
    <t>Bh.Func</t>
  </si>
  <si>
    <t>Rouparia</t>
  </si>
  <si>
    <t>DML</t>
  </si>
  <si>
    <t>Almoxarifado</t>
  </si>
  <si>
    <t>Sala de Atividades Coletivas</t>
  </si>
  <si>
    <t>Circulação 01</t>
  </si>
  <si>
    <t>Sala de Procedimento/Coleta</t>
  </si>
  <si>
    <t>Wc 01</t>
  </si>
  <si>
    <t>Wc Pne 01</t>
  </si>
  <si>
    <t>Wc Pne 02</t>
  </si>
  <si>
    <t>Wc Masc</t>
  </si>
  <si>
    <t>Wc Fem</t>
  </si>
  <si>
    <t>Recepção</t>
  </si>
  <si>
    <t>Consultorio</t>
  </si>
  <si>
    <t>Wc Cons.</t>
  </si>
  <si>
    <t>Arquivo</t>
  </si>
  <si>
    <t>Consultorio Ondotologico</t>
  </si>
  <si>
    <t>Consultorio Indeferenciado 01</t>
  </si>
  <si>
    <t>Consultorio Indeferenciado 02</t>
  </si>
  <si>
    <t>Sala de Vacina</t>
  </si>
  <si>
    <t>Sala de Curativo</t>
  </si>
  <si>
    <t>Sala de Inalação</t>
  </si>
  <si>
    <t>Sala de Espera</t>
  </si>
  <si>
    <t>Sala de Acolhimento</t>
  </si>
  <si>
    <t>Sala de Administração</t>
  </si>
  <si>
    <t>Sala de Farmácia/Estocagem</t>
  </si>
  <si>
    <t>Circulação 02</t>
  </si>
  <si>
    <t>Circulação  03</t>
  </si>
  <si>
    <t>Elemento</t>
  </si>
  <si>
    <t>Sapatas (100x100) - (P1, P2, P3 , P4, P5....P20)</t>
  </si>
  <si>
    <t>Arranque (P1 a P19)</t>
  </si>
  <si>
    <t>Pilares (12x25)</t>
  </si>
  <si>
    <t>Viga cobertura V201</t>
  </si>
  <si>
    <t>Viga cobertura V202</t>
  </si>
  <si>
    <t>Viga cobertura V203=V205</t>
  </si>
  <si>
    <t>Viga cobertura V204</t>
  </si>
  <si>
    <t>Viga cobertura V206</t>
  </si>
  <si>
    <t>Viga cobertura V207</t>
  </si>
  <si>
    <t>Viga cobertura V208=V209</t>
  </si>
  <si>
    <t>Viga cobertura V210</t>
  </si>
  <si>
    <t>Viga cobertura V211=V212</t>
  </si>
  <si>
    <t>Viga cobertura V213</t>
  </si>
  <si>
    <t>Viga cobertura V214=V217=V219</t>
  </si>
  <si>
    <t>Viga cobertura V215=V216</t>
  </si>
  <si>
    <t>Viga cobertura V218</t>
  </si>
  <si>
    <t>Viga cobertura V18</t>
  </si>
  <si>
    <t>Viga cobertura V220</t>
  </si>
  <si>
    <t>Viga cobertura V221</t>
  </si>
  <si>
    <t>Rufo 01</t>
  </si>
  <si>
    <t>Rufo 02</t>
  </si>
  <si>
    <t>Compr</t>
  </si>
  <si>
    <t>Arranque P1 a P20</t>
  </si>
  <si>
    <t>Desc.Vão</t>
  </si>
  <si>
    <t xml:space="preserve">Circulação </t>
  </si>
  <si>
    <t>Compressor</t>
  </si>
  <si>
    <t>Depósito de Lixo Comum</t>
  </si>
  <si>
    <t>Depósito de Lixo Contaminado</t>
  </si>
  <si>
    <t>Depósito de Lixo Reciclável</t>
  </si>
  <si>
    <t>Muro do Terreno</t>
  </si>
  <si>
    <t>Empena</t>
  </si>
  <si>
    <t>Retirada do Projeto</t>
  </si>
  <si>
    <t>Externo</t>
  </si>
  <si>
    <t>Ubs</t>
  </si>
  <si>
    <t>P1</t>
  </si>
  <si>
    <t>Quant.</t>
  </si>
  <si>
    <t>P2</t>
  </si>
  <si>
    <t>P4</t>
  </si>
  <si>
    <t>P3</t>
  </si>
  <si>
    <t>P5</t>
  </si>
  <si>
    <t>P6</t>
  </si>
  <si>
    <t>P7</t>
  </si>
  <si>
    <t>P8</t>
  </si>
  <si>
    <t>P9</t>
  </si>
  <si>
    <t>P10</t>
  </si>
  <si>
    <t>J1</t>
  </si>
  <si>
    <t>UBS- EMBARQUE</t>
  </si>
  <si>
    <t>Circulação 03</t>
  </si>
  <si>
    <t>UBS- COBERTURA</t>
  </si>
  <si>
    <t>Calçada</t>
  </si>
  <si>
    <t>Calçada de Proteção</t>
  </si>
  <si>
    <t>Perímetro</t>
  </si>
  <si>
    <t>Sala de Atividades Coletiva</t>
  </si>
  <si>
    <t>Farmácia/Estocagem</t>
  </si>
  <si>
    <t>Consultório</t>
  </si>
  <si>
    <t>Consultório Odontologico</t>
  </si>
  <si>
    <t>Consultório Indiferenciado 01</t>
  </si>
  <si>
    <t>Consultório Indiferenciado 02</t>
  </si>
  <si>
    <t>Acesso</t>
  </si>
  <si>
    <t>Piso cimentado</t>
  </si>
  <si>
    <t>Terreno</t>
  </si>
  <si>
    <t>Instalações eletricas</t>
  </si>
  <si>
    <t>Instalações Eletricas</t>
  </si>
  <si>
    <t>Instalações Hidraulicas</t>
  </si>
  <si>
    <t>B.Func.</t>
  </si>
  <si>
    <t>Wc.01</t>
  </si>
  <si>
    <t>Wc.Pne 01</t>
  </si>
  <si>
    <t>Wc. Masc</t>
  </si>
  <si>
    <t>Wc. Fem</t>
  </si>
  <si>
    <t>Wc.Pne 02</t>
  </si>
  <si>
    <t>Wc cons</t>
  </si>
  <si>
    <t>Cons. Indiferenciado 01</t>
  </si>
  <si>
    <t>Cons. Indiferenciado 02</t>
  </si>
  <si>
    <t>Cons.Odontologico</t>
  </si>
  <si>
    <t>Wc. 01</t>
  </si>
  <si>
    <t>Sala de curativo</t>
  </si>
  <si>
    <t>Área externa</t>
  </si>
  <si>
    <t>Instalações PCI</t>
  </si>
  <si>
    <t>Perigo risco de choque, código 9</t>
  </si>
  <si>
    <t>Saída, código 17</t>
  </si>
  <si>
    <t>Saída de Emergencia afixiada acima da porta, Codigo 14</t>
  </si>
  <si>
    <t>Saída de Emergencia - indicação de sentido, Codigo 13</t>
  </si>
  <si>
    <t>Extintor de incêncio, código 23</t>
  </si>
  <si>
    <t>Larg</t>
  </si>
  <si>
    <t>Faces</t>
  </si>
  <si>
    <t>nº Faces</t>
  </si>
  <si>
    <t>Placa de inauguração</t>
  </si>
  <si>
    <t>ENG.CIVIL - CREA-PA 1502763729</t>
  </si>
  <si>
    <t>COMPOSIÇÃO DE PREÇOS UNITÁRIO</t>
  </si>
  <si>
    <t>REF</t>
  </si>
  <si>
    <t>CÓD</t>
  </si>
  <si>
    <t>R$ UNI</t>
  </si>
  <si>
    <t xml:space="preserve">Sevente com encargos complementares </t>
  </si>
  <si>
    <t>h</t>
  </si>
  <si>
    <t>Motorista de caminhão com encargos complementares</t>
  </si>
  <si>
    <t>CAMINHÃO TOCO, PBT 14.300 KG, CARGA ÚTIL MÁX. 9.710 KG, DIST. ENTRE EIXOS 3,56 M, POTÊNCIA 185 CV, INCLUSIVE CARROCERIA FIXA ABERTA DE MADEIRA P/ TRANSPORTE GERAL DE CARGA SECA, DIMEN. APROX. 2,50 X 6,50 X 0,50 M - CHI DIURNO. AF_06/2014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</si>
  <si>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</si>
  <si>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>CPU02</t>
  </si>
  <si>
    <t>3.2</t>
  </si>
  <si>
    <t>CPU03</t>
  </si>
  <si>
    <t>Engenheiro Junior com encargos complementares</t>
  </si>
  <si>
    <t>Encarregado Geral de Obras com encargos complementares</t>
  </si>
  <si>
    <t>Vigia noturno com encargos complementares</t>
  </si>
  <si>
    <t>3.1.1</t>
  </si>
  <si>
    <t>Memória de Cálculo Coeficientes CPU03</t>
  </si>
  <si>
    <t>h/Dia</t>
  </si>
  <si>
    <t>Dias/mês</t>
  </si>
  <si>
    <t>nºmeses</t>
  </si>
  <si>
    <t>Total h</t>
  </si>
  <si>
    <t xml:space="preserve"> RASGO EM ALVENARIA PARA ELETRODUTOS COM DIAMETROS MENORES OU IGUAIS A 40 MM. AF_05/2015</t>
  </si>
  <si>
    <t xml:space="preserve"> QUEBRA EM ALVENARIA PARA INSTALAÇÃO DE CAIXA DE TOMADA (4X4 OU 4X2). AF_05/2015</t>
  </si>
  <si>
    <t>CHUMBAMENTO LINEAR EM ALVENARIA PARA RAMAIS/DISTRIBUIÇÃO COM DIÂMETROS MENORES OU IGUAIS A 40 MM. AF_05/2015</t>
  </si>
  <si>
    <t xml:space="preserve"> ELETRODUTO FLEXÍVEL CORRUGADO, PVC, DN 20 MM (1/2"), PARA CIRCUITOS TERMINAIS, INSTALADO EM LAJE - FORNECIMENTO E INSTALAÇÃO. AF_12/2015</t>
  </si>
  <si>
    <t>ELETRODUTO FLEXÍVEL CORRUGADO, PVC, DN 20 MM (1/2"), PARA CIRCUITOS TERMINAIS, INSTALADO EM PAREDE - FORNECIMENTO E INSTALAÇÃO. AF_12/2015</t>
  </si>
  <si>
    <t>CPU05</t>
  </si>
  <si>
    <t>15.20</t>
  </si>
  <si>
    <t>JOELHO PVC, SOLDAVEL, COM BUCHA DE LATAO, 90 GRAUS, 20 MM X 1/2", PARA AGUA FRIA PREDIAL</t>
  </si>
  <si>
    <t>FITA VEDA ROSCA EM ROLOS DE 18 MM X 10 M (L X C)</t>
  </si>
  <si>
    <t>Uni</t>
  </si>
  <si>
    <t>AUXILIAR DE ENCANADOR OU BOMBEIRO HIDRAULICO </t>
  </si>
  <si>
    <t>ENCANADOR OU BOMBEIRO HIDRÁULICO COM ENCARGOS COMPLEMENTARES</t>
  </si>
  <si>
    <t>CPU06</t>
  </si>
  <si>
    <t>Bancada/ banca em granito, polido, branco comum, e= *3* cm</t>
  </si>
  <si>
    <t>CUBA DE EMBUTIR DE AÇO INOXIDÁVEL MÉDIA, INCLUSO VÁLVULA TIPO AMERICANA E SIFÃO TIPO GARRAFA EM METAL CROMADO - FORNECIMENTO E INSTALAÇÃO. AF_01/2020</t>
  </si>
  <si>
    <t>TORNEIRA DE MESA/BANCADA, PARA LAVATORIO, FIXA, METALICA CROMADA, PADRAO POPULAR, 1/2 " OU 3/4 "</t>
  </si>
  <si>
    <t>Suporte mão-francesa em aço, abas iguais 40 cm, capacidade mínima 70 kg</t>
  </si>
  <si>
    <t>MASSA PLASTICA PARA MARMORE/GRANITO</t>
  </si>
  <si>
    <t>kg</t>
  </si>
  <si>
    <t>BUCHA DE NYLON SEM ABA S10, COM PARAFUSO DE 6,10 X 65 MM EM ACO ZINCADO COM ROSCA SOBERBA, CABECA CHATA E FENDA PHILLIPS</t>
  </si>
  <si>
    <t>Rejunte epoxi</t>
  </si>
  <si>
    <t>Marmorista c/ encargos complementares</t>
  </si>
  <si>
    <t>Servente com encargos complementares</t>
  </si>
  <si>
    <t>CPU07</t>
  </si>
  <si>
    <t>Acido muriático, diluição 10% a 12% para uso em limpeza</t>
  </si>
  <si>
    <t>PRAZO: 240 DIAS</t>
  </si>
  <si>
    <t>CRONOGRAMA FÍSICO-FINANCEIRO</t>
  </si>
  <si>
    <t>DESCRIMINAÇÃO DOS SERVIÇOS</t>
  </si>
  <si>
    <t>Total da Parcela</t>
  </si>
  <si>
    <t>Percentual Simples</t>
  </si>
  <si>
    <t>Total Acumulado</t>
  </si>
  <si>
    <t>Percentual Acumulado</t>
  </si>
  <si>
    <t>COMPOSIÇÃO DE BDI - DESONERADO</t>
  </si>
  <si>
    <t xml:space="preserve">Administração Central 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</si>
  <si>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</si>
  <si>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</si>
  <si>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</si>
  <si>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</si>
  <si>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</si>
  <si>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</si>
  <si>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</si>
  <si>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COMPOSIÇÃO DE ENCARGOS SOCIAIS - DESONERADOS</t>
  </si>
  <si>
    <t>OBJETO: CONTRATAÇÃO DE EMPRESA PARA EXECUÇÃO DE SERVIÇO DE TAPA BURACO E RECUPERAÇÃO DE PAVIMENTO EM CONCRETO, CONSTRUÇÃO DE MEIO FIO, SARJETA E CALÇADAS EM VIAS URBANAS DE TERRA SANTA-PA</t>
  </si>
  <si>
    <t>CONVITE Nº 0007/2023 | CONTRATO 083/2023</t>
  </si>
  <si>
    <t>DE:</t>
  </si>
  <si>
    <t>EMPRESA EXECUTORA: FR DA SILVA LTDA | CNPJ: 50.307.575/0001-20</t>
  </si>
  <si>
    <t>ATÉ:</t>
  </si>
  <si>
    <t>CONTRATO</t>
  </si>
  <si>
    <t>ACUMULADO</t>
  </si>
  <si>
    <t>BM</t>
  </si>
  <si>
    <t>R$ S/BDI</t>
  </si>
  <si>
    <t>R$ SUBTOTAL</t>
  </si>
  <si>
    <t>Barracão em tábuas de madeira - escritório e depósito</t>
  </si>
  <si>
    <t>m2</t>
  </si>
  <si>
    <t>Placa de obra em chapa de galvanizada</t>
  </si>
  <si>
    <t>Administração local</t>
  </si>
  <si>
    <t>und</t>
  </si>
  <si>
    <t>Meio fio pré-moldado</t>
  </si>
  <si>
    <t>Sarjeta em concreto</t>
  </si>
  <si>
    <t>Passeio em concreto simples e=6cm</t>
  </si>
  <si>
    <t>Concreto simples FCK 20 Mpa com junta de madeira, e= 7 cm</t>
  </si>
  <si>
    <t>2.5</t>
  </si>
  <si>
    <t>Tapa buraco em Concreto simples FCK 20 Mpa</t>
  </si>
  <si>
    <t>m3</t>
  </si>
  <si>
    <t xml:space="preserve">LIMPEZA  </t>
  </si>
  <si>
    <t>Limpeza do pavimento com vassoura</t>
  </si>
  <si>
    <t>O PRESENTE BOLETIM DE MEDIÇÃO POSSSUI O VALOR DE R$ 66.622,00  (SESSENTA E SEIS MIL, SEISCENTOS E VINTE E DOIS REAIS).</t>
  </si>
  <si>
    <t>ENG.CIVIL | FISCAL DE OBRAS-PMTS</t>
  </si>
  <si>
    <t>CREA-PA 1514686880</t>
  </si>
  <si>
    <t>O PRESENTE BOLETIM DE MEDIÇÃO POSSSUI O VALOR DE R$ 46.034,00 (QUARENTA E SEIS MIL, TRINTA E QUATRO REAIS).</t>
  </si>
</sst>
</file>

<file path=xl/styles.xml><?xml version="1.0" encoding="utf-8"?>
<styleSheet xmlns="http://schemas.openxmlformats.org/spreadsheetml/2006/main">
  <numFmts count="22">
    <numFmt numFmtId="177" formatCode="_(&quot;R$ &quot;* #,##0.00_);_(&quot;R$ &quot;* \(#,##0.00\);_(&quot;R$ &quot;* &quot;-&quot;??_);_(@_)"/>
    <numFmt numFmtId="178" formatCode="##.##000"/>
    <numFmt numFmtId="179" formatCode="##.##000##"/>
    <numFmt numFmtId="180" formatCode="_(* #,##0.00_);_(* \(#,##0.00\);_(* &quot;-&quot;??_);_(@_)"/>
    <numFmt numFmtId="181" formatCode="_-* #,##0.00_-;\-* #,##0.00_-;_-* &quot;-&quot;??_-;_-@_-"/>
    <numFmt numFmtId="182" formatCode="0.000%"/>
    <numFmt numFmtId="183" formatCode="0.0%"/>
    <numFmt numFmtId="184" formatCode="0\ &quot;DIAS&quot;"/>
    <numFmt numFmtId="185" formatCode="0.00\ &quot;uni&quot;"/>
    <numFmt numFmtId="186" formatCode="0.00;[Red]0.00"/>
    <numFmt numFmtId="187" formatCode="_(* #,##0.0000_);_(* \(#,##0.0000\);_(* &quot;-&quot;??_);_(@_)"/>
    <numFmt numFmtId="188" formatCode="0.00\ &quot;m&quot;"/>
    <numFmt numFmtId="189" formatCode="0.00\ &quot;m²&quot;"/>
    <numFmt numFmtId="190" formatCode="0.00\ &quot;m³&quot;"/>
    <numFmt numFmtId="191" formatCode="_-[$R$-416]\ * #,##0.00_-;\-[$R$-416]\ * #,##0.00_-;_-[$R$-416]\ * &quot;-&quot;??_-;_-@_-"/>
    <numFmt numFmtId="192" formatCode="&quot;R$&quot;\ #,##0.00;\-&quot;R$&quot;\ #,##0.00"/>
    <numFmt numFmtId="193" formatCode="0.0000"/>
    <numFmt numFmtId="194" formatCode="_-&quot;R$&quot;\ * #,##0.00_-;\-&quot;R$&quot;\ * #,##0.00_-;_-&quot;R$&quot;\ * &quot;-&quot;??_-;_-@_-"/>
    <numFmt numFmtId="195" formatCode="#,##0.00;[Red]#,##0.00"/>
    <numFmt numFmtId="196" formatCode="#,##0.00000000"/>
    <numFmt numFmtId="197" formatCode="_-&quot;R$&quot;\ * #,##0.000000_-;\-&quot;R$&quot;\ * #,##0.000000_-;_-&quot;R$&quot;\ * &quot;-&quot;??????_-;_-@_-"/>
    <numFmt numFmtId="198" formatCode="0.000000"/>
  </numFmts>
  <fonts count="37"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0"/>
      <color rgb="FF000000"/>
      <name val="Arial"/>
      <family val="1"/>
    </font>
    <font>
      <sz val="10"/>
      <color rgb="FF000000"/>
      <name val="Calibri"/>
      <family val="2"/>
      <scheme val="minor"/>
    </font>
    <font>
      <sz val="11"/>
      <name val="Arial"/>
      <family val="1"/>
    </font>
    <font>
      <b/>
      <u val="single"/>
      <sz val="12"/>
      <name val="Calibri"/>
      <family val="2"/>
    </font>
    <font>
      <b/>
      <sz val="36"/>
      <name val="Calibri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24"/>
      <name val="Arial"/>
      <family val="2"/>
    </font>
    <font>
      <b/>
      <u val="sing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fgColor rgb="FFFFFFFF"/>
        <bgColor rgb="FFFFFFFF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ck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/>
      <top style="thick">
        <color auto="1"/>
      </top>
      <bottom/>
    </border>
    <border>
      <left style="thin">
        <color auto="1"/>
      </left>
      <right/>
      <top/>
      <bottom style="thick">
        <color auto="1"/>
      </bottom>
    </border>
    <border>
      <left/>
      <right/>
      <top/>
      <bottom style="thick">
        <color auto="1"/>
      </bottom>
    </border>
    <border>
      <left/>
      <right/>
      <top style="thick">
        <color auto="1"/>
      </top>
      <bottom/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ck">
        <color auto="1"/>
      </bottom>
    </border>
    <border>
      <left style="thin">
        <color auto="1"/>
      </left>
      <right style="thin">
        <color auto="1"/>
      </right>
      <top/>
      <bottom style="thick">
        <color auto="1"/>
      </bottom>
    </border>
    <border>
      <left style="thick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ck">
        <color auto="1"/>
      </right>
      <top/>
      <bottom style="thin">
        <color auto="1"/>
      </bottom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</border>
    <border>
      <left style="thin">
        <color auto="1"/>
      </left>
      <right/>
      <top style="thick">
        <color auto="1"/>
      </top>
      <bottom style="thin">
        <color auto="1"/>
      </bottom>
    </border>
    <border>
      <left/>
      <right style="thin">
        <color auto="1"/>
      </right>
      <top style="thick">
        <color auto="1"/>
      </top>
      <bottom style="thin">
        <color auto="1"/>
      </bottom>
    </border>
    <border>
      <left/>
      <right/>
      <top style="thick">
        <color auto="1"/>
      </top>
      <bottom style="thin">
        <color auto="1"/>
      </bottom>
    </border>
    <border>
      <left/>
      <right style="thick">
        <color auto="1"/>
      </right>
      <top style="thick">
        <color auto="1"/>
      </top>
      <bottom style="thin">
        <color auto="1"/>
      </bottom>
    </border>
    <border>
      <left style="thick">
        <color auto="1"/>
      </left>
      <right/>
      <top style="thin">
        <color auto="1"/>
      </top>
      <bottom style="thin">
        <color auto="1"/>
      </bottom>
    </border>
    <border>
      <left style="thick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ck">
        <color auto="1"/>
      </right>
      <top style="thin">
        <color auto="1"/>
      </top>
      <bottom/>
    </border>
    <border>
      <left/>
      <right/>
      <top style="thin">
        <color rgb="FFFFFFFF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/>
    </border>
    <border>
      <left style="thin">
        <color auto="1"/>
      </left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 style="thin">
        <color auto="1"/>
      </right>
      <top style="medium">
        <color auto="1"/>
      </top>
      <bottom/>
    </border>
    <border>
      <left/>
      <right/>
      <top/>
      <bottom style="medium">
        <color auto="1"/>
      </bottom>
    </border>
    <border>
      <left/>
      <right/>
      <top style="medium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>
        <color rgb="FF000000"/>
      </left>
      <right style="thin">
        <color auto="1"/>
      </right>
      <top style="thin">
        <color auto="1"/>
      </top>
      <bottom style="thin">
        <color auto="1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194" fontId="6" fillId="0" borderId="0" applyFont="0" applyFill="0" applyBorder="0" applyAlignment="0" applyProtection="0"/>
    <xf numFmtId="194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20" fillId="0" borderId="0">
      <alignment/>
      <protection/>
    </xf>
    <xf numFmtId="18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>
      <alignment/>
      <protection/>
    </xf>
    <xf numFmtId="180" fontId="6" fillId="0" borderId="0" applyFont="0" applyFill="0" applyBorder="0" applyAlignment="0" applyProtection="0"/>
  </cellStyleXfs>
  <cellXfs count="833">
    <xf numFmtId="0" fontId="0" fillId="0" borderId="0" xfId="0"/>
    <xf numFmtId="0" fontId="13" fillId="0" borderId="0" xfId="0"/>
    <xf numFmtId="0" fontId="2" fillId="2" borderId="0" xfId="20" applyFont="1" applyFill="1" applyBorder="1" applyAlignment="1">
      <alignment vertical="center"/>
      <protection/>
    </xf>
    <xf numFmtId="0" fontId="1" fillId="2" borderId="0" xfId="20" applyFont="1" applyFill="1" applyBorder="1" applyAlignment="1">
      <alignment horizontal="center" vertical="center"/>
      <protection/>
    </xf>
    <xf numFmtId="195" fontId="1" fillId="2" borderId="0" xfId="20" applyNumberFormat="1" applyFont="1" applyFill="1" applyBorder="1" applyAlignment="1">
      <alignment horizontal="center" vertical="center"/>
      <protection/>
    </xf>
    <xf numFmtId="194" fontId="1" fillId="2" borderId="0" xfId="21" applyFont="1" applyFill="1" applyBorder="1" applyAlignment="1">
      <alignment horizontal="right" vertical="center"/>
    </xf>
    <xf numFmtId="0" fontId="2" fillId="2" borderId="0" xfId="20" applyFont="1" applyFill="1" applyBorder="1" applyAlignment="1">
      <alignment horizontal="center" vertical="center"/>
      <protection/>
    </xf>
    <xf numFmtId="194" fontId="2" fillId="2" borderId="0" xfId="21" applyFont="1" applyFill="1" applyBorder="1" applyAlignment="1">
      <alignment vertical="center"/>
    </xf>
    <xf numFmtId="194" fontId="1" fillId="2" borderId="0" xfId="21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94" fontId="1" fillId="2" borderId="0" xfId="20" applyNumberFormat="1" applyFont="1" applyFill="1" applyBorder="1" applyAlignment="1">
      <alignment vertical="center"/>
      <protection/>
    </xf>
    <xf numFmtId="0" fontId="1" fillId="2" borderId="0" xfId="20" applyFont="1" applyFill="1" applyBorder="1" applyAlignment="1">
      <alignment vertical="center"/>
      <protection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94" fontId="2" fillId="2" borderId="0" xfId="20" applyNumberFormat="1" applyFont="1" applyFill="1" applyBorder="1" applyAlignment="1">
      <alignment vertical="center"/>
      <protection/>
    </xf>
    <xf numFmtId="0" fontId="23" fillId="2" borderId="0" xfId="20" applyFont="1" applyFill="1" applyBorder="1" applyAlignment="1">
      <alignment horizontal="center" vertical="center"/>
      <protection/>
    </xf>
    <xf numFmtId="194" fontId="2" fillId="2" borderId="0" xfId="21" applyFont="1" applyFill="1" applyBorder="1" applyAlignment="1">
      <alignment horizontal="right" vertical="center"/>
    </xf>
    <xf numFmtId="0" fontId="2" fillId="2" borderId="1" xfId="20" applyFont="1" applyFill="1" applyBorder="1" applyAlignment="1">
      <alignment horizontal="center" vertical="center"/>
      <protection/>
    </xf>
    <xf numFmtId="195" fontId="2" fillId="2" borderId="1" xfId="20" applyNumberFormat="1" applyFont="1" applyFill="1" applyBorder="1" applyAlignment="1">
      <alignment horizontal="center" vertical="center"/>
      <protection/>
    </xf>
    <xf numFmtId="194" fontId="2" fillId="2" borderId="1" xfId="21" applyFont="1" applyFill="1" applyBorder="1" applyAlignment="1">
      <alignment horizontal="center" vertical="center" wrapText="1"/>
    </xf>
    <xf numFmtId="194" fontId="24" fillId="0" borderId="2" xfId="22" applyFont="1" applyFill="1" applyBorder="1" applyAlignment="1">
      <alignment horizontal="center" vertical="center" wrapText="1"/>
    </xf>
    <xf numFmtId="194" fontId="24" fillId="0" borderId="3" xfId="22" applyFont="1" applyFill="1" applyBorder="1" applyAlignment="1">
      <alignment horizontal="center" vertical="center" wrapText="1"/>
    </xf>
    <xf numFmtId="0" fontId="2" fillId="2" borderId="4" xfId="20" applyFont="1" applyFill="1" applyBorder="1" applyAlignment="1">
      <alignment horizontal="center" vertical="center"/>
      <protection/>
    </xf>
    <xf numFmtId="195" fontId="2" fillId="2" borderId="4" xfId="20" applyNumberFormat="1" applyFont="1" applyFill="1" applyBorder="1" applyAlignment="1">
      <alignment horizontal="center" vertical="center"/>
      <protection/>
    </xf>
    <xf numFmtId="194" fontId="2" fillId="2" borderId="4" xfId="21" applyFont="1" applyFill="1" applyBorder="1" applyAlignment="1">
      <alignment horizontal="center" vertical="center" wrapText="1"/>
    </xf>
    <xf numFmtId="181" fontId="24" fillId="0" borderId="2" xfId="23" applyFont="1" applyFill="1" applyBorder="1" applyAlignment="1">
      <alignment horizontal="center" vertical="center"/>
    </xf>
    <xf numFmtId="194" fontId="24" fillId="0" borderId="3" xfId="22" applyFont="1" applyFill="1" applyBorder="1" applyAlignment="1">
      <alignment horizontal="center" vertical="center"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195" fontId="1" fillId="2" borderId="3" xfId="20" applyNumberFormat="1" applyFont="1" applyFill="1" applyBorder="1" applyAlignment="1">
      <alignment horizontal="center" vertical="center"/>
      <protection/>
    </xf>
    <xf numFmtId="194" fontId="2" fillId="2" borderId="3" xfId="2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/>
    </xf>
    <xf numFmtId="0" fontId="1" fillId="2" borderId="3" xfId="20" applyFont="1" applyFill="1" applyBorder="1" applyAlignment="1">
      <alignment horizontal="left" vertical="center" wrapText="1"/>
      <protection/>
    </xf>
    <xf numFmtId="194" fontId="10" fillId="0" borderId="3" xfId="22" applyFont="1" applyFill="1" applyBorder="1" applyAlignment="1">
      <alignment horizontal="right" vertical="center" wrapText="1"/>
    </xf>
    <xf numFmtId="194" fontId="1" fillId="2" borderId="3" xfId="21" applyFont="1" applyFill="1" applyBorder="1" applyAlignment="1">
      <alignment horizontal="right" vertical="center"/>
    </xf>
    <xf numFmtId="181" fontId="10" fillId="2" borderId="3" xfId="23" applyFont="1" applyFill="1" applyBorder="1" applyAlignment="1">
      <alignment vertical="center"/>
    </xf>
    <xf numFmtId="191" fontId="10" fillId="2" borderId="3" xfId="0" applyNumberFormat="1" applyFont="1" applyFill="1" applyBorder="1" applyAlignment="1">
      <alignment vertical="center"/>
    </xf>
    <xf numFmtId="0" fontId="2" fillId="2" borderId="3" xfId="20" applyFont="1" applyFill="1" applyBorder="1" applyAlignment="1">
      <alignment horizontal="left" vertical="center" wrapText="1"/>
      <protection/>
    </xf>
    <xf numFmtId="195" fontId="2" fillId="2" borderId="3" xfId="20" applyNumberFormat="1" applyFont="1" applyFill="1" applyBorder="1" applyAlignment="1">
      <alignment horizontal="center" vertical="center"/>
      <protection/>
    </xf>
    <xf numFmtId="194" fontId="12" fillId="0" borderId="3" xfId="22" applyFont="1" applyFill="1" applyBorder="1" applyAlignment="1">
      <alignment horizontal="right" vertical="center" wrapText="1"/>
    </xf>
    <xf numFmtId="4" fontId="1" fillId="2" borderId="3" xfId="2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" fillId="0" borderId="3" xfId="20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vertical="center" wrapText="1"/>
      <protection/>
    </xf>
    <xf numFmtId="4" fontId="1" fillId="0" borderId="3" xfId="20" applyNumberFormat="1" applyFont="1" applyFill="1" applyBorder="1" applyAlignment="1">
      <alignment horizontal="center" vertical="center"/>
      <protection/>
    </xf>
    <xf numFmtId="194" fontId="1" fillId="0" borderId="3" xfId="21" applyFont="1" applyFill="1" applyBorder="1" applyAlignment="1">
      <alignment horizontal="right" vertical="center"/>
    </xf>
    <xf numFmtId="181" fontId="10" fillId="0" borderId="3" xfId="23" applyFont="1" applyFill="1" applyBorder="1" applyAlignment="1">
      <alignment vertical="center"/>
    </xf>
    <xf numFmtId="0" fontId="1" fillId="0" borderId="3" xfId="20" applyFont="1" applyFill="1" applyBorder="1" applyAlignment="1">
      <alignment vertical="center"/>
      <protection/>
    </xf>
    <xf numFmtId="191" fontId="10" fillId="0" borderId="1" xfId="0" applyNumberFormat="1" applyFont="1" applyFill="1" applyBorder="1" applyAlignment="1">
      <alignment vertical="center"/>
    </xf>
    <xf numFmtId="191" fontId="10" fillId="0" borderId="3" xfId="0" applyNumberFormat="1" applyFont="1" applyFill="1" applyBorder="1" applyAlignment="1">
      <alignment vertical="center"/>
    </xf>
    <xf numFmtId="0" fontId="2" fillId="2" borderId="3" xfId="20" applyFont="1" applyFill="1" applyBorder="1" applyAlignment="1">
      <alignment vertical="center"/>
      <protection/>
    </xf>
    <xf numFmtId="0" fontId="2" fillId="2" borderId="3" xfId="20" applyFont="1" applyFill="1" applyBorder="1" applyAlignment="1">
      <alignment horizontal="right" vertical="center"/>
      <protection/>
    </xf>
    <xf numFmtId="194" fontId="10" fillId="2" borderId="5" xfId="0" applyNumberFormat="1" applyFont="1" applyFill="1" applyBorder="1" applyAlignment="1">
      <alignment vertical="center"/>
    </xf>
    <xf numFmtId="191" fontId="12" fillId="2" borderId="6" xfId="0" applyNumberFormat="1" applyFont="1" applyFill="1" applyBorder="1" applyAlignment="1">
      <alignment vertical="center"/>
    </xf>
    <xf numFmtId="0" fontId="6" fillId="2" borderId="0" xfId="20" applyFont="1" applyFill="1" applyBorder="1" applyAlignment="1">
      <alignment vertical="center"/>
      <protection/>
    </xf>
    <xf numFmtId="0" fontId="25" fillId="0" borderId="0" xfId="0" applyFont="1" applyAlignment="1">
      <alignment horizontal="left" vertical="top" wrapText="1"/>
    </xf>
    <xf numFmtId="194" fontId="10" fillId="2" borderId="0" xfId="0" applyNumberFormat="1" applyFont="1" applyFill="1" applyBorder="1" applyAlignment="1">
      <alignment vertical="center"/>
    </xf>
    <xf numFmtId="0" fontId="24" fillId="0" borderId="0" xfId="24" applyFont="1" applyAlignment="1">
      <alignment horizontal="center"/>
      <protection/>
    </xf>
    <xf numFmtId="194" fontId="10" fillId="2" borderId="0" xfId="22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2" fillId="2" borderId="0" xfId="20" applyFont="1" applyFill="1" applyAlignment="1">
      <alignment vertical="center"/>
      <protection/>
    </xf>
    <xf numFmtId="194" fontId="2" fillId="2" borderId="0" xfId="21" applyFont="1" applyFill="1" applyAlignment="1">
      <alignment vertical="center"/>
    </xf>
    <xf numFmtId="0" fontId="6" fillId="2" borderId="0" xfId="20" applyFont="1" applyFill="1" applyAlignment="1">
      <alignment vertical="center"/>
      <protection/>
    </xf>
    <xf numFmtId="0" fontId="2" fillId="2" borderId="0" xfId="20" applyFont="1" applyFill="1" applyAlignment="1">
      <alignment horizontal="center" vertical="center"/>
      <protection/>
    </xf>
    <xf numFmtId="2" fontId="10" fillId="2" borderId="0" xfId="0" applyNumberFormat="1" applyFont="1" applyFill="1" applyAlignment="1">
      <alignment vertical="center"/>
    </xf>
    <xf numFmtId="0" fontId="2" fillId="2" borderId="3" xfId="20" applyFont="1" applyFill="1" applyBorder="1" applyAlignment="1">
      <alignment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194" fontId="2" fillId="2" borderId="3" xfId="22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198" fontId="19" fillId="0" borderId="3" xfId="0" applyNumberFormat="1" applyFont="1" applyFill="1" applyBorder="1" applyAlignment="1">
      <alignment horizontal="right" vertical="center" wrapText="1"/>
    </xf>
    <xf numFmtId="194" fontId="19" fillId="0" borderId="3" xfId="22" applyFont="1" applyFill="1" applyBorder="1" applyAlignment="1">
      <alignment horizontal="right" vertical="center" wrapText="1"/>
    </xf>
    <xf numFmtId="0" fontId="1" fillId="2" borderId="3" xfId="20" applyFont="1" applyFill="1" applyBorder="1" applyAlignment="1">
      <alignment vertical="center" wrapText="1"/>
      <protection/>
    </xf>
    <xf numFmtId="181" fontId="1" fillId="2" borderId="3" xfId="25" applyFont="1" applyFill="1" applyBorder="1" applyAlignment="1">
      <alignment horizontal="center" vertical="center"/>
    </xf>
    <xf numFmtId="194" fontId="9" fillId="0" borderId="3" xfId="22" applyFont="1" applyFill="1" applyBorder="1" applyAlignment="1">
      <alignment horizontal="right" vertical="center" wrapText="1"/>
    </xf>
    <xf numFmtId="0" fontId="1" fillId="2" borderId="0" xfId="20" applyFont="1" applyFill="1" applyBorder="1" applyAlignment="1">
      <alignment vertical="center" wrapText="1"/>
      <protection/>
    </xf>
    <xf numFmtId="181" fontId="1" fillId="2" borderId="0" xfId="25" applyFont="1" applyFill="1" applyBorder="1" applyAlignment="1">
      <alignment horizontal="center" vertical="center"/>
    </xf>
    <xf numFmtId="0" fontId="2" fillId="2" borderId="0" xfId="20" applyFont="1" applyFill="1" applyBorder="1" applyAlignment="1">
      <alignment horizontal="right" vertical="center"/>
      <protection/>
    </xf>
    <xf numFmtId="194" fontId="9" fillId="0" borderId="0" xfId="22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177" fontId="1" fillId="0" borderId="3" xfId="26" applyFont="1" applyBorder="1" applyAlignment="1">
      <alignment horizontal="center" vertical="center"/>
    </xf>
    <xf numFmtId="10" fontId="10" fillId="2" borderId="0" xfId="0" applyNumberFormat="1" applyFont="1" applyFill="1" applyAlignment="1">
      <alignment vertical="center"/>
    </xf>
    <xf numFmtId="0" fontId="1" fillId="0" borderId="3" xfId="0" applyFont="1" applyFill="1" applyBorder="1" applyAlignment="1">
      <alignment vertical="center" wrapText="1"/>
    </xf>
    <xf numFmtId="194" fontId="1" fillId="2" borderId="3" xfId="22" applyFont="1" applyFill="1" applyBorder="1" applyAlignment="1">
      <alignment vertical="center"/>
    </xf>
    <xf numFmtId="194" fontId="1" fillId="0" borderId="4" xfId="22" applyFont="1" applyFill="1" applyBorder="1" applyAlignment="1">
      <alignment horizontal="center" vertical="center"/>
    </xf>
    <xf numFmtId="194" fontId="2" fillId="2" borderId="3" xfId="2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98" fontId="10" fillId="2" borderId="0" xfId="0" applyNumberFormat="1" applyFont="1" applyFill="1" applyAlignment="1">
      <alignment vertical="center"/>
    </xf>
    <xf numFmtId="198" fontId="1" fillId="0" borderId="3" xfId="0" applyNumberFormat="1" applyFont="1" applyFill="1" applyBorder="1" applyAlignment="1">
      <alignment horizontal="right" vertical="center" wrapText="1"/>
    </xf>
    <xf numFmtId="197" fontId="10" fillId="2" borderId="0" xfId="0" applyNumberFormat="1" applyFont="1" applyFill="1" applyAlignment="1">
      <alignment vertical="center"/>
    </xf>
    <xf numFmtId="194" fontId="10" fillId="2" borderId="0" xfId="0" applyNumberFormat="1" applyFont="1" applyFill="1" applyAlignment="1">
      <alignment vertical="center"/>
    </xf>
    <xf numFmtId="181" fontId="10" fillId="2" borderId="3" xfId="0" applyNumberFormat="1" applyFont="1" applyFill="1" applyBorder="1" applyAlignment="1">
      <alignment vertical="center"/>
    </xf>
    <xf numFmtId="197" fontId="10" fillId="2" borderId="3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194" fontId="10" fillId="2" borderId="0" xfId="22" applyFont="1" applyFill="1" applyAlignment="1">
      <alignment vertical="center"/>
    </xf>
    <xf numFmtId="194" fontId="10" fillId="2" borderId="6" xfId="0" applyNumberFormat="1" applyFont="1" applyFill="1" applyBorder="1" applyAlignment="1">
      <alignment vertical="center"/>
    </xf>
    <xf numFmtId="194" fontId="12" fillId="2" borderId="0" xfId="22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6" fillId="0" borderId="0" xfId="0" applyFont="1"/>
    <xf numFmtId="0" fontId="34" fillId="0" borderId="0" xfId="0" applyFont="1" applyAlignment="1">
      <alignment horizontal="center"/>
    </xf>
    <xf numFmtId="0" fontId="13" fillId="0" borderId="0" xfId="0" applyAlignment="1">
      <alignment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3" xfId="0" applyBorder="1" applyAlignment="1">
      <alignment horizontal="center"/>
    </xf>
    <xf numFmtId="0" fontId="13" fillId="0" borderId="3" xfId="0" applyBorder="1"/>
    <xf numFmtId="194" fontId="13" fillId="0" borderId="3" xfId="22" applyFont="1" applyBorder="1"/>
    <xf numFmtId="194" fontId="13" fillId="0" borderId="7" xfId="22" applyFont="1" applyBorder="1"/>
    <xf numFmtId="194" fontId="26" fillId="0" borderId="8" xfId="22" applyFont="1" applyBorder="1"/>
    <xf numFmtId="0" fontId="26" fillId="0" borderId="9" xfId="0" applyFont="1" applyBorder="1"/>
    <xf numFmtId="194" fontId="26" fillId="0" borderId="6" xfId="0" applyNumberFormat="1" applyFont="1" applyBorder="1"/>
    <xf numFmtId="0" fontId="12" fillId="0" borderId="0" xfId="0" applyFont="1"/>
    <xf numFmtId="0" fontId="12" fillId="0" borderId="0" xfId="0" applyFont="1" applyAlignment="1">
      <alignment/>
    </xf>
    <xf numFmtId="2" fontId="12" fillId="0" borderId="0" xfId="0" applyNumberFormat="1" applyFont="1"/>
    <xf numFmtId="0" fontId="33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13" fillId="0" borderId="3" xfId="0" applyFill="1" applyBorder="1" applyAlignment="1">
      <alignment horizontal="center"/>
    </xf>
    <xf numFmtId="0" fontId="13" fillId="0" borderId="3" xfId="0" applyFill="1" applyBorder="1"/>
    <xf numFmtId="188" fontId="13" fillId="0" borderId="3" xfId="0" applyNumberFormat="1" applyFill="1" applyBorder="1"/>
    <xf numFmtId="189" fontId="13" fillId="0" borderId="3" xfId="0" applyNumberFormat="1" applyFill="1" applyBorder="1"/>
    <xf numFmtId="188" fontId="13" fillId="0" borderId="3" xfId="0" applyNumberFormat="1" applyBorder="1"/>
    <xf numFmtId="0" fontId="13" fillId="0" borderId="1" xfId="0" applyBorder="1" applyAlignment="1">
      <alignment horizontal="center"/>
    </xf>
    <xf numFmtId="0" fontId="13" fillId="0" borderId="1" xfId="0" applyBorder="1"/>
    <xf numFmtId="0" fontId="13" fillId="0" borderId="1" xfId="0" applyFill="1" applyBorder="1"/>
    <xf numFmtId="188" fontId="13" fillId="0" borderId="1" xfId="0" applyNumberFormat="1" applyBorder="1"/>
    <xf numFmtId="188" fontId="13" fillId="0" borderId="1" xfId="0" applyNumberFormat="1" applyFill="1" applyBorder="1"/>
    <xf numFmtId="189" fontId="13" fillId="0" borderId="1" xfId="0" applyNumberFormat="1" applyFill="1" applyBorder="1"/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188" fontId="32" fillId="0" borderId="6" xfId="0" applyNumberFormat="1" applyFont="1" applyFill="1" applyBorder="1"/>
    <xf numFmtId="188" fontId="32" fillId="0" borderId="6" xfId="0" applyNumberFormat="1" applyFont="1" applyBorder="1"/>
    <xf numFmtId="189" fontId="32" fillId="0" borderId="6" xfId="0" applyNumberFormat="1" applyFont="1" applyFill="1" applyBorder="1"/>
    <xf numFmtId="0" fontId="12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0" fontId="1" fillId="2" borderId="0" xfId="20" applyFont="1" applyFill="1" applyAlignment="1">
      <alignment horizontal="center" vertical="center"/>
      <protection/>
    </xf>
    <xf numFmtId="195" fontId="1" fillId="2" borderId="0" xfId="20" applyNumberFormat="1" applyFont="1" applyFill="1" applyAlignment="1">
      <alignment horizontal="center" vertical="center"/>
      <protection/>
    </xf>
    <xf numFmtId="0" fontId="2" fillId="2" borderId="0" xfId="20" applyFont="1" applyFill="1" applyAlignment="1">
      <alignment horizontal="left" vertical="center" wrapText="1"/>
      <protection/>
    </xf>
    <xf numFmtId="0" fontId="1" fillId="2" borderId="0" xfId="20" applyFont="1" applyFill="1">
      <alignment/>
      <protection/>
    </xf>
    <xf numFmtId="0" fontId="2" fillId="2" borderId="5" xfId="20" applyFont="1" applyFill="1" applyBorder="1" applyAlignment="1">
      <alignment horizontal="left" vertical="center" wrapText="1"/>
      <protection/>
    </xf>
    <xf numFmtId="0" fontId="2" fillId="2" borderId="12" xfId="20" applyFont="1" applyFill="1" applyBorder="1" applyAlignment="1">
      <alignment horizontal="left" vertical="center" wrapText="1"/>
      <protection/>
    </xf>
    <xf numFmtId="0" fontId="2" fillId="2" borderId="2" xfId="20" applyFont="1" applyFill="1" applyBorder="1" applyAlignment="1">
      <alignment horizontal="left" vertical="center" wrapText="1"/>
      <protection/>
    </xf>
    <xf numFmtId="0" fontId="1" fillId="2" borderId="3" xfId="20" applyFont="1" applyFill="1" applyBorder="1" applyAlignment="1">
      <alignment vertical="center"/>
      <protection/>
    </xf>
    <xf numFmtId="188" fontId="1" fillId="2" borderId="3" xfId="20" applyNumberFormat="1" applyFont="1" applyFill="1" applyBorder="1" applyAlignment="1">
      <alignment vertical="center"/>
      <protection/>
    </xf>
    <xf numFmtId="189" fontId="1" fillId="2" borderId="3" xfId="20" applyNumberFormat="1" applyFont="1" applyFill="1" applyBorder="1" applyAlignment="1">
      <alignment vertical="center"/>
      <protection/>
    </xf>
    <xf numFmtId="0" fontId="2" fillId="2" borderId="2" xfId="20" applyFont="1" applyFill="1" applyBorder="1" applyAlignment="1">
      <alignment vertical="center"/>
      <protection/>
    </xf>
    <xf numFmtId="189" fontId="2" fillId="2" borderId="3" xfId="20" applyNumberFormat="1" applyFont="1" applyFill="1" applyBorder="1" applyAlignment="1">
      <alignment vertical="center"/>
      <protection/>
    </xf>
    <xf numFmtId="0" fontId="1" fillId="2" borderId="12" xfId="20" applyFont="1" applyFill="1" applyBorder="1" applyAlignment="1">
      <alignment horizontal="center" vertical="center"/>
      <protection/>
    </xf>
    <xf numFmtId="2" fontId="1" fillId="2" borderId="0" xfId="20" applyNumberFormat="1" applyFont="1" applyFill="1" applyAlignment="1">
      <alignment vertical="center"/>
      <protection/>
    </xf>
    <xf numFmtId="189" fontId="2" fillId="2" borderId="0" xfId="20" applyNumberFormat="1" applyFont="1" applyFill="1" applyBorder="1" applyAlignment="1">
      <alignment vertical="center"/>
      <protection/>
    </xf>
    <xf numFmtId="0" fontId="2" fillId="2" borderId="5" xfId="20" applyFont="1" applyFill="1" applyBorder="1" applyAlignment="1">
      <alignment horizontal="left" vertical="center"/>
      <protection/>
    </xf>
    <xf numFmtId="188" fontId="2" fillId="2" borderId="3" xfId="20" applyNumberFormat="1" applyFont="1" applyFill="1" applyBorder="1" applyAlignment="1">
      <alignment vertical="center"/>
      <protection/>
    </xf>
    <xf numFmtId="188" fontId="2" fillId="2" borderId="0" xfId="20" applyNumberFormat="1" applyFont="1" applyFill="1" applyBorder="1" applyAlignment="1">
      <alignment vertical="center"/>
      <protection/>
    </xf>
    <xf numFmtId="2" fontId="1" fillId="2" borderId="3" xfId="20" applyNumberFormat="1" applyFont="1" applyFill="1" applyBorder="1" applyAlignment="1">
      <alignment vertical="center"/>
      <protection/>
    </xf>
    <xf numFmtId="2" fontId="2" fillId="2" borderId="3" xfId="20" applyNumberFormat="1" applyFont="1" applyFill="1" applyBorder="1" applyAlignment="1">
      <alignment vertical="center"/>
      <protection/>
    </xf>
    <xf numFmtId="2" fontId="2" fillId="2" borderId="0" xfId="20" applyNumberFormat="1" applyFont="1" applyFill="1" applyBorder="1" applyAlignment="1">
      <alignment vertical="center"/>
      <protection/>
    </xf>
    <xf numFmtId="196" fontId="10" fillId="2" borderId="0" xfId="0" applyNumberFormat="1" applyFont="1" applyFill="1"/>
    <xf numFmtId="0" fontId="2" fillId="2" borderId="5" xfId="20" applyFont="1" applyFill="1" applyBorder="1" applyAlignment="1">
      <alignment horizontal="center" vertical="center"/>
      <protection/>
    </xf>
    <xf numFmtId="190" fontId="1" fillId="2" borderId="3" xfId="20" applyNumberFormat="1" applyFont="1" applyFill="1" applyBorder="1" applyAlignment="1">
      <alignment vertical="center"/>
      <protection/>
    </xf>
    <xf numFmtId="0" fontId="2" fillId="2" borderId="2" xfId="20" applyFont="1" applyFill="1" applyBorder="1" applyAlignment="1">
      <alignment horizontal="right" vertical="center"/>
      <protection/>
    </xf>
    <xf numFmtId="190" fontId="2" fillId="2" borderId="3" xfId="20" applyNumberFormat="1" applyFont="1" applyFill="1" applyBorder="1" applyAlignment="1">
      <alignment vertical="center"/>
      <protection/>
    </xf>
    <xf numFmtId="0" fontId="2" fillId="2" borderId="0" xfId="20" applyFont="1" applyFill="1" applyBorder="1" applyAlignment="1">
      <alignment vertical="center" wrapText="1"/>
      <protection/>
    </xf>
    <xf numFmtId="0" fontId="2" fillId="2" borderId="13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/>
      <protection/>
    </xf>
    <xf numFmtId="181" fontId="1" fillId="2" borderId="3" xfId="23" applyFont="1" applyFill="1" applyBorder="1"/>
    <xf numFmtId="0" fontId="10" fillId="2" borderId="0" xfId="0" applyFont="1" applyFill="1"/>
    <xf numFmtId="0" fontId="1" fillId="2" borderId="0" xfId="20" applyFont="1" applyFill="1" applyAlignment="1">
      <alignment horizontal="center"/>
      <protection/>
    </xf>
    <xf numFmtId="195" fontId="1" fillId="2" borderId="0" xfId="20" applyNumberFormat="1" applyFont="1" applyFill="1" applyAlignment="1">
      <alignment horizontal="center"/>
      <protection/>
    </xf>
    <xf numFmtId="194" fontId="1" fillId="2" borderId="0" xfId="21" applyFont="1" applyFill="1" applyAlignment="1">
      <alignment horizontal="right"/>
    </xf>
    <xf numFmtId="0" fontId="6" fillId="2" borderId="0" xfId="20" applyFont="1" applyFill="1">
      <alignment/>
      <protection/>
    </xf>
    <xf numFmtId="0" fontId="14" fillId="2" borderId="0" xfId="20" applyFont="1" applyFill="1" applyBorder="1" applyAlignment="1">
      <alignment horizontal="center" vertic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12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184" fontId="2" fillId="2" borderId="3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 wrapText="1"/>
      <protection/>
    </xf>
    <xf numFmtId="194" fontId="1" fillId="2" borderId="3" xfId="21" applyFont="1" applyFill="1" applyBorder="1" applyAlignment="1">
      <alignment horizontal="center" vertical="center" wrapText="1"/>
    </xf>
    <xf numFmtId="10" fontId="1" fillId="2" borderId="14" xfId="27" applyNumberFormat="1" applyFont="1" applyFill="1" applyBorder="1"/>
    <xf numFmtId="9" fontId="1" fillId="2" borderId="15" xfId="27" applyFont="1" applyFill="1" applyBorder="1"/>
    <xf numFmtId="10" fontId="2" fillId="2" borderId="3" xfId="28" applyNumberFormat="1" applyFont="1" applyFill="1" applyBorder="1" applyAlignment="1">
      <alignment horizontal="center" vertical="center" wrapText="1"/>
    </xf>
    <xf numFmtId="194" fontId="1" fillId="2" borderId="16" xfId="21" applyFont="1" applyFill="1" applyBorder="1"/>
    <xf numFmtId="194" fontId="1" fillId="2" borderId="0" xfId="21" applyFont="1" applyFill="1" applyBorder="1"/>
    <xf numFmtId="10" fontId="1" fillId="2" borderId="17" xfId="27" applyNumberFormat="1" applyFont="1" applyFill="1" applyBorder="1"/>
    <xf numFmtId="10" fontId="1" fillId="2" borderId="0" xfId="27" applyNumberFormat="1" applyFont="1" applyFill="1" applyBorder="1"/>
    <xf numFmtId="10" fontId="1" fillId="2" borderId="18" xfId="27" applyNumberFormat="1" applyFont="1" applyFill="1" applyBorder="1"/>
    <xf numFmtId="194" fontId="1" fillId="2" borderId="19" xfId="21" applyFont="1" applyFill="1" applyBorder="1"/>
    <xf numFmtId="0" fontId="1" fillId="2" borderId="1" xfId="20" applyFont="1" applyFill="1" applyBorder="1" applyAlignment="1">
      <alignment horizontal="left" vertical="center" wrapText="1"/>
      <protection/>
    </xf>
    <xf numFmtId="194" fontId="1" fillId="2" borderId="1" xfId="21" applyFont="1" applyFill="1" applyBorder="1" applyAlignment="1">
      <alignment horizontal="left" vertical="center" wrapText="1"/>
    </xf>
    <xf numFmtId="0" fontId="1" fillId="2" borderId="4" xfId="20" applyFont="1" applyFill="1" applyBorder="1" applyAlignment="1">
      <alignment horizontal="left" vertical="center" wrapText="1"/>
      <protection/>
    </xf>
    <xf numFmtId="194" fontId="1" fillId="2" borderId="4" xfId="21" applyFont="1" applyFill="1" applyBorder="1" applyAlignment="1">
      <alignment horizontal="left" vertical="center" wrapText="1"/>
    </xf>
    <xf numFmtId="0" fontId="1" fillId="2" borderId="3" xfId="20" applyFont="1" applyFill="1" applyBorder="1">
      <alignment/>
      <protection/>
    </xf>
    <xf numFmtId="0" fontId="2" fillId="2" borderId="3" xfId="20" applyFont="1" applyFill="1" applyBorder="1" applyAlignment="1">
      <alignment horizontal="right"/>
      <protection/>
    </xf>
    <xf numFmtId="194" fontId="2" fillId="2" borderId="3" xfId="20" applyNumberFormat="1" applyFont="1" applyFill="1" applyBorder="1">
      <alignment/>
      <protection/>
    </xf>
    <xf numFmtId="194" fontId="1" fillId="2" borderId="3" xfId="20" applyNumberFormat="1" applyFont="1" applyFill="1" applyBorder="1">
      <alignment/>
      <protection/>
    </xf>
    <xf numFmtId="183" fontId="2" fillId="2" borderId="3" xfId="27" applyNumberFormat="1" applyFont="1" applyFill="1" applyBorder="1" applyAlignment="1">
      <alignment horizontal="center" vertical="center" wrapText="1"/>
    </xf>
    <xf numFmtId="183" fontId="1" fillId="2" borderId="3" xfId="27" applyNumberFormat="1" applyFont="1" applyFill="1" applyBorder="1"/>
    <xf numFmtId="183" fontId="2" fillId="2" borderId="3" xfId="27" applyNumberFormat="1" applyFont="1" applyFill="1" applyBorder="1" applyAlignment="1">
      <alignment horizontal="right"/>
    </xf>
    <xf numFmtId="183" fontId="2" fillId="2" borderId="3" xfId="27" applyNumberFormat="1" applyFont="1" applyFill="1" applyBorder="1"/>
    <xf numFmtId="10" fontId="1" fillId="2" borderId="3" xfId="27" applyNumberFormat="1" applyFont="1" applyFill="1" applyBorder="1"/>
    <xf numFmtId="10" fontId="2" fillId="2" borderId="3" xfId="27" applyNumberFormat="1" applyFont="1" applyFill="1" applyBorder="1" applyAlignment="1">
      <alignment vertical="center" wrapText="1"/>
    </xf>
    <xf numFmtId="0" fontId="2" fillId="2" borderId="3" xfId="20" applyFont="1" applyFill="1" applyBorder="1">
      <alignment/>
      <protection/>
    </xf>
    <xf numFmtId="10" fontId="1" fillId="2" borderId="3" xfId="20" applyNumberFormat="1" applyFont="1" applyFill="1" applyBorder="1">
      <alignment/>
      <protection/>
    </xf>
    <xf numFmtId="10" fontId="2" fillId="2" borderId="3" xfId="20" applyNumberFormat="1" applyFont="1" applyFill="1" applyBorder="1">
      <alignment/>
      <protection/>
    </xf>
    <xf numFmtId="194" fontId="1" fillId="2" borderId="0" xfId="20" applyNumberFormat="1" applyFont="1" applyFill="1">
      <alignment/>
      <protection/>
    </xf>
    <xf numFmtId="0" fontId="2" fillId="2" borderId="0" xfId="20" applyFont="1" applyFill="1" applyBorder="1" applyAlignment="1">
      <alignment horizontal="left" vertical="center" wrapText="1"/>
      <protection/>
    </xf>
    <xf numFmtId="0" fontId="9" fillId="2" borderId="0" xfId="29" applyFont="1" applyFill="1" applyBorder="1" applyAlignment="1">
      <alignment vertical="center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2" borderId="20" xfId="29" applyFont="1" applyFill="1" applyBorder="1" applyAlignment="1">
      <alignment horizontal="center" vertical="center" wrapText="1"/>
      <protection/>
    </xf>
    <xf numFmtId="0" fontId="9" fillId="2" borderId="20" xfId="29" applyFont="1" applyFill="1" applyBorder="1" applyAlignment="1">
      <alignment vertical="center" wrapText="1"/>
      <protection/>
    </xf>
    <xf numFmtId="0" fontId="9" fillId="2" borderId="3" xfId="29" applyFont="1" applyFill="1" applyBorder="1" applyAlignment="1">
      <alignment horizontal="center" vertical="center"/>
      <protection/>
    </xf>
    <xf numFmtId="0" fontId="9" fillId="2" borderId="3" xfId="29" applyFont="1" applyFill="1" applyBorder="1" applyAlignment="1">
      <alignment horizontal="left" vertical="center"/>
      <protection/>
    </xf>
    <xf numFmtId="182" fontId="9" fillId="2" borderId="3" xfId="29" applyNumberFormat="1" applyFont="1" applyFill="1" applyBorder="1" applyAlignment="1">
      <alignment vertical="center"/>
      <protection/>
    </xf>
    <xf numFmtId="0" fontId="10" fillId="2" borderId="3" xfId="29" applyFont="1" applyFill="1" applyBorder="1" applyAlignment="1">
      <alignment horizontal="center" vertical="center"/>
      <protection/>
    </xf>
    <xf numFmtId="0" fontId="10" fillId="2" borderId="3" xfId="29" applyFont="1" applyFill="1" applyBorder="1" applyAlignment="1">
      <alignment vertical="center"/>
      <protection/>
    </xf>
    <xf numFmtId="182" fontId="10" fillId="2" borderId="3" xfId="29" applyNumberFormat="1" applyFont="1" applyFill="1" applyBorder="1" applyAlignment="1">
      <alignment vertical="center"/>
      <protection/>
    </xf>
    <xf numFmtId="10" fontId="10" fillId="2" borderId="3" xfId="29" applyNumberFormat="1" applyFont="1" applyFill="1" applyBorder="1" applyAlignment="1">
      <alignment vertical="center"/>
      <protection/>
    </xf>
    <xf numFmtId="0" fontId="2" fillId="2" borderId="3" xfId="29" applyFont="1" applyFill="1" applyBorder="1" applyAlignment="1">
      <alignment horizontal="left" vertical="center"/>
      <protection/>
    </xf>
    <xf numFmtId="10" fontId="9" fillId="2" borderId="3" xfId="29" applyNumberFormat="1" applyFont="1" applyFill="1" applyBorder="1">
      <alignment/>
      <protection/>
    </xf>
    <xf numFmtId="10" fontId="1" fillId="2" borderId="0" xfId="20" applyNumberFormat="1" applyFont="1" applyFill="1" applyAlignment="1">
      <alignment vertical="center"/>
      <protection/>
    </xf>
    <xf numFmtId="0" fontId="10" fillId="2" borderId="0" xfId="29" applyFont="1" applyFill="1" applyAlignment="1">
      <alignment horizontal="center" vertical="center"/>
      <protection/>
    </xf>
    <xf numFmtId="0" fontId="10" fillId="2" borderId="0" xfId="29" applyFont="1" applyFill="1" applyAlignment="1">
      <alignment vertical="center"/>
      <protection/>
    </xf>
    <xf numFmtId="0" fontId="1" fillId="2" borderId="0" xfId="29" applyFont="1" applyFill="1" applyAlignment="1">
      <alignment horizontal="left" vertical="center" wrapText="1"/>
      <protection/>
    </xf>
    <xf numFmtId="0" fontId="10" fillId="2" borderId="0" xfId="29" applyFont="1" applyFill="1" applyAlignment="1">
      <alignment horizontal="left" vertical="center"/>
      <protection/>
    </xf>
    <xf numFmtId="0" fontId="10" fillId="2" borderId="0" xfId="29" applyFont="1" applyFill="1" applyBorder="1" applyAlignment="1">
      <alignment horizontal="left" vertical="center"/>
      <protection/>
    </xf>
    <xf numFmtId="0" fontId="1" fillId="2" borderId="0" xfId="29" applyFont="1" applyFill="1" applyAlignment="1">
      <alignment vertical="center"/>
      <protection/>
    </xf>
    <xf numFmtId="0" fontId="10" fillId="2" borderId="0" xfId="0" applyFont="1" applyFill="1" applyAlignment="1">
      <alignment horizontal="center" vertical="center"/>
    </xf>
    <xf numFmtId="0" fontId="2" fillId="2" borderId="20" xfId="20" applyFont="1" applyFill="1" applyBorder="1" applyAlignment="1">
      <alignment vertical="center"/>
      <protection/>
    </xf>
    <xf numFmtId="0" fontId="28" fillId="2" borderId="3" xfId="29" applyFont="1" applyFill="1" applyBorder="1" applyAlignment="1">
      <alignment horizontal="center" vertical="center"/>
      <protection/>
    </xf>
    <xf numFmtId="0" fontId="28" fillId="2" borderId="5" xfId="29" applyFont="1" applyFill="1" applyBorder="1" applyAlignment="1">
      <alignment horizontal="center" vertical="center"/>
      <protection/>
    </xf>
    <xf numFmtId="10" fontId="28" fillId="2" borderId="3" xfId="29" applyNumberFormat="1" applyFont="1" applyFill="1" applyBorder="1" applyAlignment="1">
      <alignment horizontal="center" vertical="center"/>
      <protection/>
    </xf>
    <xf numFmtId="0" fontId="28" fillId="2" borderId="12" xfId="29" applyFont="1" applyFill="1" applyBorder="1" applyAlignment="1">
      <alignment horizontal="center" vertical="center"/>
      <protection/>
    </xf>
    <xf numFmtId="0" fontId="28" fillId="2" borderId="2" xfId="29" applyFont="1" applyFill="1" applyBorder="1" applyAlignment="1">
      <alignment horizontal="center" vertical="center"/>
      <protection/>
    </xf>
    <xf numFmtId="0" fontId="31" fillId="2" borderId="3" xfId="29" applyFont="1" applyFill="1" applyBorder="1" applyAlignment="1">
      <alignment horizontal="center" vertical="center"/>
      <protection/>
    </xf>
    <xf numFmtId="0" fontId="31" fillId="2" borderId="3" xfId="29" applyFont="1" applyFill="1" applyBorder="1" applyAlignment="1">
      <alignment vertical="center"/>
      <protection/>
    </xf>
    <xf numFmtId="10" fontId="31" fillId="2" borderId="3" xfId="29" applyNumberFormat="1" applyFont="1" applyFill="1" applyBorder="1" applyAlignment="1">
      <alignment horizontal="center" vertical="center"/>
      <protection/>
    </xf>
    <xf numFmtId="0" fontId="30" fillId="2" borderId="3" xfId="29" applyFont="1" applyFill="1" applyBorder="1" applyAlignment="1">
      <alignment horizontal="center" vertical="center"/>
      <protection/>
    </xf>
    <xf numFmtId="0" fontId="30" fillId="2" borderId="3" xfId="29" applyFont="1" applyFill="1" applyBorder="1" applyAlignment="1">
      <alignment horizontal="right" vertical="center"/>
      <protection/>
    </xf>
    <xf numFmtId="10" fontId="30" fillId="2" borderId="3" xfId="29" applyNumberFormat="1" applyFont="1" applyFill="1" applyBorder="1" applyAlignment="1">
      <alignment horizontal="center" vertical="center"/>
      <protection/>
    </xf>
    <xf numFmtId="0" fontId="30" fillId="2" borderId="5" xfId="29" applyFont="1" applyFill="1" applyBorder="1" applyAlignment="1">
      <alignment horizontal="center" vertical="center"/>
      <protection/>
    </xf>
    <xf numFmtId="0" fontId="30" fillId="2" borderId="12" xfId="29" applyFont="1" applyFill="1" applyBorder="1" applyAlignment="1">
      <alignment horizontal="center" vertical="center"/>
      <protection/>
    </xf>
    <xf numFmtId="0" fontId="30" fillId="2" borderId="2" xfId="29" applyFont="1" applyFill="1" applyBorder="1" applyAlignment="1">
      <alignment horizontal="center" vertical="center"/>
      <protection/>
    </xf>
    <xf numFmtId="0" fontId="29" fillId="2" borderId="3" xfId="29" applyFont="1" applyFill="1" applyBorder="1" applyAlignment="1">
      <alignment horizontal="center" vertical="center"/>
      <protection/>
    </xf>
    <xf numFmtId="0" fontId="29" fillId="2" borderId="5" xfId="29" applyFont="1" applyFill="1" applyBorder="1" applyAlignment="1">
      <alignment vertical="center"/>
      <protection/>
    </xf>
    <xf numFmtId="10" fontId="29" fillId="2" borderId="3" xfId="29" applyNumberFormat="1" applyFont="1" applyFill="1" applyBorder="1" applyAlignment="1">
      <alignment horizontal="center" vertical="center"/>
      <protection/>
    </xf>
    <xf numFmtId="0" fontId="31" fillId="2" borderId="5" xfId="29" applyFont="1" applyFill="1" applyBorder="1" applyAlignment="1">
      <alignment vertical="center"/>
      <protection/>
    </xf>
    <xf numFmtId="0" fontId="30" fillId="2" borderId="5" xfId="29" applyFont="1" applyFill="1" applyBorder="1" applyAlignment="1">
      <alignment horizontal="right" vertical="center"/>
      <protection/>
    </xf>
    <xf numFmtId="0" fontId="28" fillId="2" borderId="5" xfId="29" applyFont="1" applyFill="1" applyBorder="1" applyAlignment="1">
      <alignment horizontal="right" vertical="center"/>
      <protection/>
    </xf>
    <xf numFmtId="0" fontId="29" fillId="2" borderId="3" xfId="29" applyFont="1" applyFill="1" applyBorder="1" applyAlignment="1">
      <alignment vertical="center"/>
      <protection/>
    </xf>
    <xf numFmtId="0" fontId="29" fillId="2" borderId="5" xfId="29" applyFont="1" applyFill="1" applyBorder="1" applyAlignment="1">
      <alignment vertical="center" wrapText="1"/>
      <protection/>
    </xf>
    <xf numFmtId="0" fontId="28" fillId="2" borderId="1" xfId="29" applyFont="1" applyFill="1" applyBorder="1" applyAlignment="1">
      <alignment horizontal="center" vertical="center"/>
      <protection/>
    </xf>
    <xf numFmtId="0" fontId="28" fillId="2" borderId="7" xfId="29" applyFont="1" applyFill="1" applyBorder="1" applyAlignment="1">
      <alignment horizontal="right" vertical="center"/>
      <protection/>
    </xf>
    <xf numFmtId="10" fontId="28" fillId="2" borderId="1" xfId="29" applyNumberFormat="1" applyFont="1" applyFill="1" applyBorder="1" applyAlignment="1">
      <alignment horizontal="center" vertical="center"/>
      <protection/>
    </xf>
    <xf numFmtId="0" fontId="28" fillId="2" borderId="2" xfId="29" applyFont="1" applyFill="1" applyBorder="1" applyAlignment="1">
      <alignment horizontal="right" vertical="center"/>
      <protection/>
    </xf>
    <xf numFmtId="0" fontId="1" fillId="2" borderId="0" xfId="29" applyFont="1" applyFill="1" applyAlignment="1">
      <alignment vertical="center" wrapText="1"/>
      <protection/>
    </xf>
    <xf numFmtId="0" fontId="27" fillId="2" borderId="0" xfId="20" applyFont="1" applyFill="1" applyBorder="1" applyAlignment="1">
      <alignment horizontal="center" vertical="center"/>
      <protection/>
    </xf>
    <xf numFmtId="191" fontId="26" fillId="2" borderId="6" xfId="0" applyNumberFormat="1" applyFont="1" applyFill="1" applyBorder="1" applyAlignment="1">
      <alignment vertical="center"/>
    </xf>
    <xf numFmtId="10" fontId="10" fillId="2" borderId="0" xfId="28" applyNumberFormat="1" applyFont="1" applyFill="1" applyBorder="1" applyAlignment="1">
      <alignment vertical="center"/>
    </xf>
    <xf numFmtId="0" fontId="6" fillId="0" borderId="0" xfId="0"/>
    <xf numFmtId="0" fontId="25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3" xfId="0" applyFont="1" applyBorder="1"/>
    <xf numFmtId="0" fontId="6" fillId="0" borderId="26" xfId="0" applyFont="1" applyBorder="1"/>
    <xf numFmtId="49" fontId="6" fillId="0" borderId="25" xfId="0" applyNumberFormat="1" applyFont="1" applyBorder="1"/>
    <xf numFmtId="2" fontId="6" fillId="0" borderId="3" xfId="0" applyNumberFormat="1" applyFont="1" applyBorder="1"/>
    <xf numFmtId="2" fontId="6" fillId="0" borderId="26" xfId="0" applyNumberFormat="1" applyFont="1" applyBorder="1"/>
    <xf numFmtId="49" fontId="6" fillId="0" borderId="2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wrapText="1"/>
    </xf>
    <xf numFmtId="49" fontId="24" fillId="0" borderId="25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2" fontId="6" fillId="0" borderId="29" xfId="0" applyNumberFormat="1" applyFont="1" applyBorder="1"/>
    <xf numFmtId="0" fontId="24" fillId="0" borderId="0" xfId="0" applyFont="1" applyAlignment="1">
      <alignment horizontal="center"/>
    </xf>
    <xf numFmtId="2" fontId="6" fillId="0" borderId="0" xfId="0" applyNumberFormat="1" applyFont="1"/>
    <xf numFmtId="49" fontId="24" fillId="0" borderId="30" xfId="0" applyNumberFormat="1" applyFont="1" applyBorder="1" applyAlignment="1">
      <alignment horizontal="center"/>
    </xf>
    <xf numFmtId="0" fontId="24" fillId="0" borderId="31" xfId="0" applyFont="1" applyBorder="1"/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24" fillId="0" borderId="18" xfId="0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193" fontId="6" fillId="0" borderId="3" xfId="0" applyNumberFormat="1" applyFont="1" applyBorder="1"/>
    <xf numFmtId="49" fontId="24" fillId="0" borderId="37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6" fillId="0" borderId="39" xfId="0" applyNumberFormat="1" applyFont="1" applyBorder="1"/>
    <xf numFmtId="0" fontId="24" fillId="0" borderId="19" xfId="0" applyFont="1" applyBorder="1" applyAlignment="1">
      <alignment horizontal="center"/>
    </xf>
    <xf numFmtId="2" fontId="6" fillId="0" borderId="19" xfId="0" applyNumberFormat="1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49" fontId="6" fillId="0" borderId="3" xfId="0" applyNumberFormat="1" applyFont="1" applyBorder="1"/>
    <xf numFmtId="2" fontId="6" fillId="0" borderId="19" xfId="0" applyNumberFormat="1" applyBorder="1"/>
    <xf numFmtId="0" fontId="23" fillId="0" borderId="40" xfId="0" applyFont="1" applyFill="1" applyBorder="1" applyAlignment="1">
      <alignment vertical="center"/>
    </xf>
    <xf numFmtId="180" fontId="8" fillId="0" borderId="0" xfId="23" applyFont="1" applyFill="1" applyBorder="1" applyAlignment="1">
      <alignment horizontal="center" vertical="center"/>
    </xf>
    <xf numFmtId="177" fontId="8" fillId="0" borderId="0" xfId="22" applyFont="1" applyFill="1" applyBorder="1" applyAlignment="1">
      <alignment vertical="center"/>
    </xf>
    <xf numFmtId="177" fontId="8" fillId="0" borderId="0" xfId="22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0" xfId="23" applyFont="1" applyFill="1" applyBorder="1" applyAlignment="1">
      <alignment vertical="center"/>
    </xf>
    <xf numFmtId="177" fontId="7" fillId="0" borderId="0" xfId="22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0" fontId="8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7" fontId="8" fillId="0" borderId="0" xfId="22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14" fontId="17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80" fontId="8" fillId="0" borderId="20" xfId="23" applyFont="1" applyFill="1" applyBorder="1" applyAlignment="1">
      <alignment horizontal="center" vertical="center"/>
    </xf>
    <xf numFmtId="177" fontId="8" fillId="0" borderId="20" xfId="22" applyFont="1" applyFill="1" applyBorder="1" applyAlignment="1">
      <alignment horizontal="center" vertical="center"/>
    </xf>
    <xf numFmtId="177" fontId="8" fillId="0" borderId="20" xfId="22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80" fontId="2" fillId="0" borderId="1" xfId="23" applyFont="1" applyFill="1" applyBorder="1" applyAlignment="1">
      <alignment horizontal="center" vertical="center"/>
    </xf>
    <xf numFmtId="177" fontId="2" fillId="0" borderId="1" xfId="22" applyFont="1" applyFill="1" applyBorder="1" applyAlignment="1">
      <alignment horizontal="center" vertical="center" wrapText="1"/>
    </xf>
    <xf numFmtId="177" fontId="2" fillId="0" borderId="3" xfId="22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80" fontId="2" fillId="0" borderId="4" xfId="23" applyFont="1" applyFill="1" applyBorder="1" applyAlignment="1">
      <alignment horizontal="center" vertical="center"/>
    </xf>
    <xf numFmtId="177" fontId="2" fillId="0" borderId="4" xfId="22" applyFont="1" applyFill="1" applyBorder="1" applyAlignment="1">
      <alignment horizontal="center" vertical="center" wrapText="1"/>
    </xf>
    <xf numFmtId="180" fontId="2" fillId="0" borderId="3" xfId="23" applyFont="1" applyFill="1" applyBorder="1" applyAlignment="1">
      <alignment horizontal="center" vertical="center"/>
    </xf>
    <xf numFmtId="177" fontId="2" fillId="0" borderId="3" xfId="22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80" fontId="1" fillId="0" borderId="3" xfId="23" applyFont="1" applyFill="1" applyBorder="1" applyAlignment="1">
      <alignment horizontal="center" vertical="center"/>
    </xf>
    <xf numFmtId="177" fontId="2" fillId="0" borderId="3" xfId="22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9" fillId="0" borderId="3" xfId="30" applyNumberFormat="1" applyFont="1" applyFill="1" applyBorder="1" applyAlignment="1">
      <alignment horizontal="right" vertical="center" wrapText="1"/>
      <protection/>
    </xf>
    <xf numFmtId="177" fontId="1" fillId="0" borderId="3" xfId="22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vertical="center"/>
    </xf>
    <xf numFmtId="191" fontId="1" fillId="0" borderId="3" xfId="0" applyNumberFormat="1" applyFont="1" applyFill="1" applyBorder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177" fontId="1" fillId="0" borderId="3" xfId="22" applyFont="1" applyFill="1" applyBorder="1" applyAlignment="1">
      <alignment vertical="center"/>
    </xf>
    <xf numFmtId="177" fontId="1" fillId="0" borderId="3" xfId="2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right" vertical="center" wrapText="1"/>
    </xf>
    <xf numFmtId="2" fontId="1" fillId="0" borderId="3" xfId="28" applyNumberFormat="1" applyFont="1" applyFill="1" applyBorder="1" applyAlignment="1">
      <alignment vertical="center"/>
    </xf>
    <xf numFmtId="2" fontId="1" fillId="0" borderId="3" xfId="23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3" xfId="0" applyNumberFormat="1" applyFont="1" applyFill="1" applyBorder="1" applyAlignment="1" quotePrefix="1">
      <alignment vertical="center"/>
    </xf>
    <xf numFmtId="191" fontId="8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/>
    </xf>
    <xf numFmtId="0" fontId="2" fillId="0" borderId="3" xfId="29" applyFont="1" applyFill="1" applyBorder="1" applyAlignment="1">
      <alignment horizontal="left" vertical="center" wrapText="1"/>
      <protection/>
    </xf>
    <xf numFmtId="0" fontId="1" fillId="0" borderId="3" xfId="29" applyFont="1" applyFill="1" applyBorder="1" applyAlignment="1">
      <alignment horizontal="left" vertical="center" wrapText="1"/>
      <protection/>
    </xf>
    <xf numFmtId="0" fontId="1" fillId="0" borderId="4" xfId="31" applyFont="1" applyFill="1" applyBorder="1" applyAlignment="1">
      <alignment vertical="center" wrapText="1"/>
      <protection/>
    </xf>
    <xf numFmtId="2" fontId="8" fillId="0" borderId="0" xfId="0" applyNumberFormat="1" applyFont="1" applyFill="1" applyAlignment="1">
      <alignment vertical="center"/>
    </xf>
    <xf numFmtId="0" fontId="1" fillId="0" borderId="3" xfId="31" applyFont="1" applyFill="1" applyBorder="1" applyAlignment="1">
      <alignment vertical="center" wrapText="1"/>
      <protection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3" xfId="32" applyFont="1" applyFill="1" applyBorder="1" applyAlignment="1">
      <alignment vertical="center" wrapText="1"/>
      <protection/>
    </xf>
    <xf numFmtId="0" fontId="2" fillId="0" borderId="3" xfId="29" applyFont="1" applyFill="1" applyBorder="1" applyAlignment="1">
      <alignment horizontal="center" vertical="center" wrapText="1"/>
      <protection/>
    </xf>
    <xf numFmtId="0" fontId="2" fillId="0" borderId="3" xfId="29" applyFont="1" applyFill="1" applyBorder="1" applyAlignment="1">
      <alignment vertical="center" wrapText="1"/>
      <protection/>
    </xf>
    <xf numFmtId="0" fontId="1" fillId="0" borderId="3" xfId="29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80" fontId="8" fillId="0" borderId="3" xfId="23" applyFont="1" applyFill="1" applyBorder="1" applyAlignment="1">
      <alignment horizontal="center" vertical="center"/>
    </xf>
    <xf numFmtId="177" fontId="8" fillId="0" borderId="3" xfId="22" applyFont="1" applyFill="1" applyBorder="1" applyAlignment="1">
      <alignment horizontal="center" vertical="center" wrapText="1"/>
    </xf>
    <xf numFmtId="177" fontId="8" fillId="0" borderId="3" xfId="22" applyFont="1" applyFill="1" applyBorder="1" applyAlignment="1">
      <alignment horizontal="right" vertical="center"/>
    </xf>
    <xf numFmtId="191" fontId="8" fillId="0" borderId="1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177" fontId="7" fillId="0" borderId="5" xfId="22" applyFont="1" applyFill="1" applyBorder="1" applyAlignment="1">
      <alignment horizontal="center" vertical="center"/>
    </xf>
    <xf numFmtId="177" fontId="7" fillId="0" borderId="2" xfId="22" applyFont="1" applyFill="1" applyBorder="1" applyAlignment="1">
      <alignment horizontal="center" vertical="center"/>
    </xf>
    <xf numFmtId="177" fontId="16" fillId="0" borderId="3" xfId="22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91" fontId="17" fillId="0" borderId="6" xfId="0" applyNumberFormat="1" applyFont="1" applyFill="1" applyBorder="1" applyAlignment="1">
      <alignment vertical="center"/>
    </xf>
    <xf numFmtId="191" fontId="16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0" fontId="8" fillId="0" borderId="0" xfId="23" applyFont="1" applyFill="1" applyAlignment="1">
      <alignment horizontal="center" vertical="center"/>
    </xf>
    <xf numFmtId="177" fontId="8" fillId="0" borderId="0" xfId="22" applyFont="1" applyFill="1" applyAlignment="1">
      <alignment vertical="center"/>
    </xf>
    <xf numFmtId="177" fontId="8" fillId="0" borderId="0" xfId="22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80" fontId="1" fillId="0" borderId="0" xfId="23" applyFont="1" applyFill="1" applyAlignment="1">
      <alignment vertical="center"/>
    </xf>
    <xf numFmtId="177" fontId="1" fillId="0" borderId="0" xfId="22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188" fontId="1" fillId="0" borderId="3" xfId="0" applyNumberFormat="1" applyFont="1" applyFill="1" applyBorder="1" applyAlignment="1">
      <alignment vertical="center"/>
    </xf>
    <xf numFmtId="189" fontId="1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89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/>
    </xf>
    <xf numFmtId="188" fontId="2" fillId="0" borderId="3" xfId="0" applyNumberFormat="1" applyFont="1" applyFill="1" applyBorder="1" applyAlignment="1">
      <alignment vertical="center"/>
    </xf>
    <xf numFmtId="188" fontId="1" fillId="0" borderId="3" xfId="31" applyNumberFormat="1" applyFont="1" applyFill="1" applyBorder="1" applyAlignment="1">
      <alignment vertical="center"/>
      <protection/>
    </xf>
    <xf numFmtId="2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49" fontId="14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2" fontId="1" fillId="0" borderId="3" xfId="31" applyNumberFormat="1" applyFont="1" applyFill="1" applyBorder="1" applyAlignment="1">
      <alignment vertical="center"/>
      <protection/>
    </xf>
    <xf numFmtId="188" fontId="2" fillId="0" borderId="3" xfId="31" applyNumberFormat="1" applyFont="1" applyFill="1" applyBorder="1" applyAlignment="1">
      <alignment vertical="center"/>
      <protection/>
    </xf>
    <xf numFmtId="0" fontId="2" fillId="2" borderId="0" xfId="0" applyFont="1" applyFill="1" applyAlignment="1">
      <alignment horizontal="right" vertical="center"/>
    </xf>
    <xf numFmtId="188" fontId="2" fillId="2" borderId="0" xfId="0" applyNumberFormat="1" applyFont="1" applyFill="1" applyAlignment="1">
      <alignment vertical="center"/>
    </xf>
    <xf numFmtId="2" fontId="2" fillId="2" borderId="41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88" fontId="2" fillId="2" borderId="0" xfId="31" applyNumberFormat="1" applyFont="1" applyFill="1" applyBorder="1" applyAlignment="1">
      <alignment vertical="center"/>
      <protection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80" fontId="2" fillId="0" borderId="3" xfId="23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80" fontId="2" fillId="0" borderId="15" xfId="23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1" fillId="0" borderId="5" xfId="23" applyFont="1" applyFill="1" applyBorder="1" applyAlignment="1">
      <alignment vertical="center"/>
    </xf>
    <xf numFmtId="180" fontId="1" fillId="0" borderId="41" xfId="23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80" fontId="1" fillId="0" borderId="0" xfId="23" applyFont="1" applyFill="1" applyBorder="1" applyAlignment="1">
      <alignment vertical="center"/>
    </xf>
    <xf numFmtId="180" fontId="2" fillId="2" borderId="0" xfId="23" applyFont="1" applyFill="1" applyBorder="1" applyAlignment="1">
      <alignment vertical="center"/>
    </xf>
    <xf numFmtId="180" fontId="1" fillId="2" borderId="0" xfId="23" applyFont="1" applyFill="1" applyBorder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188" fontId="1" fillId="0" borderId="3" xfId="0" applyNumberFormat="1" applyFont="1" applyFill="1" applyBorder="1" applyAlignment="1">
      <alignment horizontal="right" vertical="center"/>
    </xf>
    <xf numFmtId="180" fontId="1" fillId="0" borderId="3" xfId="23" applyFont="1" applyFill="1" applyBorder="1" applyAlignment="1">
      <alignment horizontal="right" vertical="center"/>
    </xf>
    <xf numFmtId="190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180" fontId="1" fillId="0" borderId="3" xfId="23" applyFont="1" applyFill="1" applyBorder="1" applyAlignment="1">
      <alignment vertical="center"/>
    </xf>
    <xf numFmtId="188" fontId="1" fillId="0" borderId="3" xfId="33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190" fontId="2" fillId="0" borderId="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2" fillId="0" borderId="3" xfId="29" applyFont="1" applyFill="1" applyBorder="1" applyAlignment="1">
      <alignment horizontal="center" vertical="center"/>
      <protection/>
    </xf>
    <xf numFmtId="188" fontId="12" fillId="0" borderId="3" xfId="29" applyNumberFormat="1" applyFont="1" applyFill="1" applyBorder="1" applyAlignment="1">
      <alignment horizontal="center" vertical="center"/>
      <protection/>
    </xf>
    <xf numFmtId="0" fontId="1" fillId="0" borderId="41" xfId="0" applyFont="1" applyFill="1" applyBorder="1" applyAlignment="1">
      <alignment horizontal="center" vertical="center"/>
    </xf>
    <xf numFmtId="190" fontId="1" fillId="0" borderId="3" xfId="0" applyNumberFormat="1" applyFont="1" applyFill="1" applyBorder="1" applyAlignment="1">
      <alignment vertical="center"/>
    </xf>
    <xf numFmtId="9" fontId="10" fillId="0" borderId="3" xfId="34" applyFont="1" applyFill="1" applyBorder="1" applyAlignment="1">
      <alignment horizontal="right" vertical="center"/>
    </xf>
    <xf numFmtId="190" fontId="10" fillId="0" borderId="3" xfId="0" applyNumberFormat="1" applyFont="1" applyFill="1" applyBorder="1" applyAlignment="1">
      <alignment horizontal="right" vertical="center"/>
    </xf>
    <xf numFmtId="0" fontId="1" fillId="0" borderId="41" xfId="0" applyFont="1" applyFill="1" applyBorder="1" applyAlignment="1">
      <alignment vertical="center"/>
    </xf>
    <xf numFmtId="188" fontId="2" fillId="0" borderId="4" xfId="0" applyNumberFormat="1" applyFont="1" applyFill="1" applyBorder="1" applyAlignment="1">
      <alignment horizontal="right" vertical="center"/>
    </xf>
    <xf numFmtId="190" fontId="2" fillId="0" borderId="5" xfId="0" applyNumberFormat="1" applyFont="1" applyFill="1" applyBorder="1" applyAlignment="1">
      <alignment vertical="center"/>
    </xf>
    <xf numFmtId="190" fontId="1" fillId="0" borderId="41" xfId="0" applyNumberFormat="1" applyFont="1" applyFill="1" applyBorder="1" applyAlignment="1">
      <alignment vertical="center"/>
    </xf>
    <xf numFmtId="189" fontId="1" fillId="0" borderId="15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190" fontId="2" fillId="0" borderId="15" xfId="0" applyNumberFormat="1" applyFont="1" applyFill="1" applyBorder="1" applyAlignment="1">
      <alignment vertical="center"/>
    </xf>
    <xf numFmtId="19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4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89" fontId="1" fillId="0" borderId="3" xfId="0" applyNumberFormat="1" applyFont="1" applyFill="1" applyBorder="1" applyAlignment="1">
      <alignment horizontal="right" vertical="center"/>
    </xf>
    <xf numFmtId="189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188" fontId="2" fillId="0" borderId="4" xfId="0" applyNumberFormat="1" applyFont="1" applyFill="1" applyBorder="1" applyAlignment="1">
      <alignment horizontal="center" vertical="center"/>
    </xf>
    <xf numFmtId="190" fontId="1" fillId="0" borderId="41" xfId="23" applyNumberFormat="1" applyFont="1" applyFill="1" applyBorder="1" applyAlignment="1">
      <alignment vertical="center"/>
    </xf>
    <xf numFmtId="188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190" fontId="2" fillId="0" borderId="4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/>
    </xf>
    <xf numFmtId="188" fontId="10" fillId="0" borderId="3" xfId="0" applyNumberFormat="1" applyFont="1" applyFill="1" applyBorder="1" applyAlignment="1">
      <alignment vertical="center"/>
    </xf>
    <xf numFmtId="190" fontId="10" fillId="0" borderId="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188" fontId="12" fillId="0" borderId="3" xfId="0" applyNumberFormat="1" applyFont="1" applyFill="1" applyBorder="1" applyAlignment="1">
      <alignment horizontal="right" vertical="center"/>
    </xf>
    <xf numFmtId="190" fontId="1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188" fontId="12" fillId="0" borderId="0" xfId="0" applyNumberFormat="1" applyFont="1" applyFill="1" applyBorder="1" applyAlignment="1">
      <alignment horizontal="right" vertical="center"/>
    </xf>
    <xf numFmtId="190" fontId="1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8" fontId="12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 horizontal="center" vertical="center"/>
    </xf>
    <xf numFmtId="189" fontId="2" fillId="0" borderId="3" xfId="23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189" fontId="10" fillId="0" borderId="3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185" fontId="12" fillId="0" borderId="3" xfId="0" applyNumberFormat="1" applyFont="1" applyFill="1" applyBorder="1" applyAlignment="1">
      <alignment horizontal="right" vertical="center"/>
    </xf>
    <xf numFmtId="188" fontId="10" fillId="0" borderId="3" xfId="0" applyNumberFormat="1" applyFont="1" applyFill="1" applyBorder="1" applyAlignment="1">
      <alignment horizontal="right" vertical="center"/>
    </xf>
    <xf numFmtId="189" fontId="12" fillId="0" borderId="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2" fillId="2" borderId="0" xfId="31" applyFont="1" applyFill="1" applyAlignment="1">
      <alignment horizontal="right" vertical="center"/>
      <protection/>
    </xf>
    <xf numFmtId="10" fontId="1" fillId="2" borderId="0" xfId="28" applyNumberFormat="1" applyFont="1" applyFill="1" applyAlignment="1">
      <alignment vertical="center"/>
    </xf>
    <xf numFmtId="3" fontId="2" fillId="0" borderId="3" xfId="0" applyNumberFormat="1" applyFont="1" applyFill="1" applyBorder="1" applyAlignment="1">
      <alignment horizontal="left" vertical="center" wrapText="1"/>
    </xf>
    <xf numFmtId="189" fontId="1" fillId="0" borderId="3" xfId="23" applyNumberFormat="1" applyFont="1" applyFill="1" applyBorder="1" applyAlignment="1">
      <alignment vertical="center"/>
    </xf>
    <xf numFmtId="188" fontId="2" fillId="0" borderId="3" xfId="0" applyNumberFormat="1" applyFont="1" applyFill="1" applyBorder="1" applyAlignment="1">
      <alignment horizontal="right" vertical="center"/>
    </xf>
    <xf numFmtId="189" fontId="2" fillId="0" borderId="3" xfId="23" applyNumberFormat="1" applyFont="1" applyFill="1" applyBorder="1" applyAlignment="1">
      <alignment vertical="center"/>
    </xf>
    <xf numFmtId="188" fontId="1" fillId="0" borderId="5" xfId="0" applyNumberFormat="1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/>
    </xf>
    <xf numFmtId="188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left" vertical="center" wrapText="1"/>
    </xf>
    <xf numFmtId="188" fontId="2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 vertical="center"/>
    </xf>
    <xf numFmtId="180" fontId="1" fillId="2" borderId="3" xfId="23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right" vertical="center"/>
    </xf>
    <xf numFmtId="180" fontId="2" fillId="2" borderId="3" xfId="23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188" fontId="1" fillId="2" borderId="3" xfId="0" applyNumberFormat="1" applyFont="1" applyFill="1" applyBorder="1" applyAlignment="1">
      <alignment vertical="center"/>
    </xf>
    <xf numFmtId="189" fontId="1" fillId="2" borderId="3" xfId="23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189" fontId="2" fillId="2" borderId="3" xfId="23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 vertical="center"/>
    </xf>
    <xf numFmtId="189" fontId="2" fillId="2" borderId="0" xfId="23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185" fontId="1" fillId="0" borderId="3" xfId="0" applyNumberFormat="1" applyFont="1" applyFill="1" applyBorder="1" applyAlignment="1">
      <alignment vertical="center"/>
    </xf>
    <xf numFmtId="185" fontId="2" fillId="0" borderId="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1" fillId="0" borderId="3" xfId="0" applyNumberFormat="1" applyFont="1" applyFill="1" applyBorder="1" applyAlignment="1">
      <alignment horizontal="left" vertical="center"/>
    </xf>
    <xf numFmtId="189" fontId="2" fillId="0" borderId="3" xfId="0" applyNumberFormat="1" applyFont="1" applyFill="1" applyBorder="1" applyAlignment="1">
      <alignment horizontal="right" vertical="center"/>
    </xf>
    <xf numFmtId="188" fontId="2" fillId="0" borderId="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89" fontId="2" fillId="2" borderId="3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 vertical="center"/>
    </xf>
    <xf numFmtId="188" fontId="1" fillId="2" borderId="4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vertical="center"/>
    </xf>
    <xf numFmtId="188" fontId="2" fillId="2" borderId="3" xfId="0" applyNumberFormat="1" applyFont="1" applyFill="1" applyBorder="1" applyAlignment="1">
      <alignment horizontal="right" vertical="center"/>
    </xf>
    <xf numFmtId="188" fontId="2" fillId="2" borderId="4" xfId="0" applyNumberFormat="1" applyFont="1" applyFill="1" applyBorder="1" applyAlignment="1">
      <alignment horizontal="right" vertical="center"/>
    </xf>
    <xf numFmtId="185" fontId="1" fillId="2" borderId="4" xfId="0" applyNumberFormat="1" applyFont="1" applyFill="1" applyBorder="1" applyAlignment="1">
      <alignment horizontal="right" vertical="center"/>
    </xf>
    <xf numFmtId="185" fontId="2" fillId="2" borderId="4" xfId="0" applyNumberFormat="1" applyFont="1" applyFill="1" applyBorder="1" applyAlignment="1">
      <alignment horizontal="right" vertical="center"/>
    </xf>
    <xf numFmtId="185" fontId="1" fillId="2" borderId="3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 vertical="center"/>
    </xf>
    <xf numFmtId="188" fontId="1" fillId="2" borderId="3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left" vertical="center"/>
    </xf>
    <xf numFmtId="186" fontId="2" fillId="0" borderId="12" xfId="0" applyNumberFormat="1" applyFont="1" applyFill="1" applyBorder="1" applyAlignment="1">
      <alignment horizontal="left" vertical="center"/>
    </xf>
    <xf numFmtId="186" fontId="2" fillId="0" borderId="2" xfId="0" applyNumberFormat="1" applyFont="1" applyFill="1" applyBorder="1" applyAlignment="1">
      <alignment horizontal="left" vertical="center"/>
    </xf>
    <xf numFmtId="186" fontId="2" fillId="0" borderId="3" xfId="0" applyNumberFormat="1" applyFont="1" applyFill="1" applyBorder="1" applyAlignment="1">
      <alignment horizontal="left" vertical="center"/>
    </xf>
    <xf numFmtId="189" fontId="1" fillId="0" borderId="3" xfId="31" applyNumberFormat="1" applyFont="1" applyFill="1" applyBorder="1" applyAlignment="1">
      <alignment vertical="center"/>
      <protection/>
    </xf>
    <xf numFmtId="0" fontId="2" fillId="0" borderId="3" xfId="31" applyFont="1" applyFill="1" applyBorder="1" applyAlignment="1">
      <alignment horizontal="right" vertical="center"/>
      <protection/>
    </xf>
    <xf numFmtId="189" fontId="2" fillId="0" borderId="3" xfId="31" applyNumberFormat="1" applyFont="1" applyFill="1" applyBorder="1" applyAlignment="1">
      <alignment vertical="center"/>
      <protection/>
    </xf>
    <xf numFmtId="188" fontId="2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80" fontId="11" fillId="0" borderId="0" xfId="23" applyFont="1" applyFill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0" fontId="7" fillId="0" borderId="12" xfId="2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87" fontId="8" fillId="0" borderId="3" xfId="23" applyNumberFormat="1" applyFont="1" applyFill="1" applyBorder="1" applyAlignment="1">
      <alignment horizontal="center" vertical="center"/>
    </xf>
    <xf numFmtId="177" fontId="1" fillId="0" borderId="3" xfId="22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77" fontId="7" fillId="0" borderId="3" xfId="22" applyFont="1" applyFill="1" applyBorder="1" applyAlignment="1">
      <alignment horizontal="right" vertical="center"/>
    </xf>
    <xf numFmtId="177" fontId="7" fillId="0" borderId="0" xfId="22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80" fontId="8" fillId="0" borderId="12" xfId="23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31" applyFont="1" applyFill="1" applyBorder="1" applyAlignment="1">
      <alignment vertical="center"/>
      <protection/>
    </xf>
    <xf numFmtId="0" fontId="8" fillId="0" borderId="12" xfId="0" applyFont="1" applyFill="1" applyBorder="1" applyAlignment="1">
      <alignment horizontal="center" vertical="center"/>
    </xf>
    <xf numFmtId="177" fontId="7" fillId="0" borderId="12" xfId="22" applyFont="1" applyFill="1" applyBorder="1" applyAlignment="1">
      <alignment horizontal="right" vertical="center"/>
    </xf>
    <xf numFmtId="0" fontId="2" fillId="0" borderId="5" xfId="35" applyFont="1" applyFill="1" applyBorder="1" applyAlignment="1">
      <alignment horizontal="center" vertical="center"/>
      <protection/>
    </xf>
    <xf numFmtId="0" fontId="2" fillId="0" borderId="5" xfId="35" applyFont="1" applyFill="1" applyBorder="1" applyAlignment="1">
      <alignment vertical="center"/>
      <protection/>
    </xf>
    <xf numFmtId="0" fontId="2" fillId="0" borderId="12" xfId="35" applyFont="1" applyFill="1" applyBorder="1" applyAlignment="1">
      <alignment vertical="center"/>
      <protection/>
    </xf>
    <xf numFmtId="180" fontId="2" fillId="0" borderId="12" xfId="23" applyFont="1" applyFill="1" applyBorder="1" applyAlignment="1">
      <alignment horizontal="center" vertical="center"/>
    </xf>
    <xf numFmtId="0" fontId="2" fillId="0" borderId="2" xfId="35" applyFont="1" applyFill="1" applyBorder="1" applyAlignment="1">
      <alignment vertical="center"/>
      <protection/>
    </xf>
    <xf numFmtId="0" fontId="8" fillId="0" borderId="3" xfId="31" applyFont="1" applyFill="1" applyBorder="1" applyAlignment="1">
      <alignment horizontal="center" vertical="center"/>
      <protection/>
    </xf>
    <xf numFmtId="0" fontId="1" fillId="0" borderId="3" xfId="0" applyFont="1" applyFill="1" applyBorder="1"/>
    <xf numFmtId="18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77" fontId="7" fillId="0" borderId="3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86" fontId="7" fillId="0" borderId="5" xfId="0" applyNumberFormat="1" applyFont="1" applyFill="1" applyBorder="1" applyAlignment="1">
      <alignment horizontal="left" vertical="center"/>
    </xf>
    <xf numFmtId="186" fontId="7" fillId="0" borderId="12" xfId="0" applyNumberFormat="1" applyFont="1" applyFill="1" applyBorder="1" applyAlignment="1">
      <alignment horizontal="left" vertical="center"/>
    </xf>
    <xf numFmtId="186" fontId="7" fillId="0" borderId="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0" fontId="1" fillId="0" borderId="0" xfId="23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185" fontId="10" fillId="0" borderId="3" xfId="0" applyNumberFormat="1" applyFont="1" applyFill="1" applyBorder="1" applyAlignment="1">
      <alignment horizontal="center"/>
    </xf>
    <xf numFmtId="0" fontId="10" fillId="0" borderId="3" xfId="31" applyFont="1" applyFill="1" applyBorder="1" applyAlignment="1">
      <alignment horizontal="center" vertical="center"/>
      <protection/>
    </xf>
    <xf numFmtId="0" fontId="10" fillId="0" borderId="3" xfId="0" applyFont="1" applyFill="1" applyBorder="1" applyAlignment="1">
      <alignment horizontal="left" wrapText="1"/>
    </xf>
    <xf numFmtId="185" fontId="10" fillId="0" borderId="3" xfId="0" applyNumberFormat="1" applyFont="1" applyFill="1" applyBorder="1" applyAlignment="1">
      <alignment horizontal="center" vertical="center"/>
    </xf>
    <xf numFmtId="177" fontId="8" fillId="0" borderId="3" xfId="22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" fillId="0" borderId="0" xfId="0" applyFont="1"/>
    <xf numFmtId="177" fontId="1" fillId="0" borderId="0" xfId="22" applyFont="1" applyBorder="1"/>
    <xf numFmtId="0" fontId="2" fillId="0" borderId="0" xfId="0" applyFont="1" applyAlignment="1">
      <alignment vertical="center"/>
    </xf>
    <xf numFmtId="177" fontId="2" fillId="0" borderId="0" xfId="22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20" xfId="0" applyFont="1" applyBorder="1"/>
    <xf numFmtId="0" fontId="2" fillId="0" borderId="20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22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4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77" fontId="1" fillId="0" borderId="3" xfId="22" applyFont="1" applyBorder="1" applyAlignment="1">
      <alignment horizontal="center" vertical="center"/>
    </xf>
    <xf numFmtId="10" fontId="1" fillId="0" borderId="42" xfId="28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0" fontId="1" fillId="0" borderId="3" xfId="27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77" fontId="1" fillId="0" borderId="43" xfId="22" applyFont="1" applyBorder="1" applyAlignment="1">
      <alignment horizontal="center"/>
    </xf>
    <xf numFmtId="177" fontId="1" fillId="0" borderId="0" xfId="22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177" fontId="1" fillId="0" borderId="1" xfId="22" applyFont="1" applyBorder="1" applyAlignment="1">
      <alignment horizontal="center" vertical="center"/>
    </xf>
    <xf numFmtId="10" fontId="1" fillId="0" borderId="44" xfId="28" applyNumberFormat="1" applyFont="1" applyBorder="1" applyAlignment="1">
      <alignment horizontal="center"/>
    </xf>
    <xf numFmtId="10" fontId="1" fillId="0" borderId="45" xfId="28" applyNumberFormat="1" applyFont="1" applyBorder="1" applyAlignment="1">
      <alignment horizontal="center"/>
    </xf>
    <xf numFmtId="181" fontId="1" fillId="0" borderId="0" xfId="0" applyNumberFormat="1" applyFont="1"/>
    <xf numFmtId="0" fontId="1" fillId="2" borderId="4" xfId="0" applyFont="1" applyFill="1" applyBorder="1" applyAlignment="1">
      <alignment horizontal="left" vertical="center"/>
    </xf>
    <xf numFmtId="177" fontId="1" fillId="0" borderId="4" xfId="22" applyFont="1" applyBorder="1" applyAlignment="1">
      <alignment horizontal="center" vertical="center"/>
    </xf>
    <xf numFmtId="177" fontId="1" fillId="0" borderId="46" xfId="22" applyFont="1" applyBorder="1" applyAlignment="1">
      <alignment horizontal="center"/>
    </xf>
    <xf numFmtId="177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177" fontId="1" fillId="0" borderId="48" xfId="22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10" fontId="1" fillId="0" borderId="0" xfId="28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10" fontId="1" fillId="0" borderId="41" xfId="28" applyNumberFormat="1" applyFont="1" applyBorder="1" applyAlignment="1">
      <alignment horizontal="center"/>
    </xf>
    <xf numFmtId="177" fontId="1" fillId="0" borderId="41" xfId="22" applyFont="1" applyBorder="1" applyAlignment="1">
      <alignment horizontal="center"/>
    </xf>
    <xf numFmtId="10" fontId="1" fillId="0" borderId="0" xfId="28" applyNumberFormat="1" applyFont="1" applyFill="1" applyBorder="1" applyAlignment="1">
      <alignment horizontal="center"/>
    </xf>
    <xf numFmtId="177" fontId="1" fillId="0" borderId="0" xfId="22" applyFont="1" applyFill="1" applyBorder="1" applyAlignment="1">
      <alignment horizontal="center"/>
    </xf>
    <xf numFmtId="0" fontId="1" fillId="0" borderId="0" xfId="0" applyFont="1" applyBorder="1"/>
    <xf numFmtId="177" fontId="1" fillId="4" borderId="3" xfId="22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/>
    </xf>
    <xf numFmtId="177" fontId="1" fillId="4" borderId="1" xfId="22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left" vertical="center"/>
    </xf>
    <xf numFmtId="177" fontId="1" fillId="4" borderId="4" xfId="22" applyFont="1" applyFill="1" applyBorder="1" applyAlignment="1">
      <alignment horizontal="center" vertical="center"/>
    </xf>
    <xf numFmtId="177" fontId="1" fillId="0" borderId="1" xfId="22" applyFont="1" applyFill="1" applyBorder="1" applyAlignment="1">
      <alignment horizontal="center" vertical="center"/>
    </xf>
    <xf numFmtId="10" fontId="1" fillId="0" borderId="41" xfId="28" applyNumberFormat="1" applyFont="1" applyFill="1" applyBorder="1" applyAlignment="1">
      <alignment horizontal="center"/>
    </xf>
    <xf numFmtId="177" fontId="1" fillId="0" borderId="4" xfId="22" applyFont="1" applyFill="1" applyBorder="1" applyAlignment="1">
      <alignment horizontal="center" vertical="center"/>
    </xf>
    <xf numFmtId="177" fontId="1" fillId="0" borderId="41" xfId="22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177" fontId="2" fillId="0" borderId="3" xfId="22" applyFont="1" applyBorder="1" applyAlignment="1">
      <alignment horizontal="center"/>
    </xf>
    <xf numFmtId="183" fontId="2" fillId="0" borderId="3" xfId="0" applyNumberFormat="1" applyFont="1" applyFill="1" applyBorder="1" applyAlignment="1">
      <alignment horizontal="center" vertical="center"/>
    </xf>
    <xf numFmtId="10" fontId="1" fillId="0" borderId="3" xfId="0" applyNumberFormat="1" applyFont="1" applyBorder="1" applyAlignment="1">
      <alignment vertical="center"/>
    </xf>
    <xf numFmtId="10" fontId="1" fillId="0" borderId="0" xfId="0" applyNumberFormat="1" applyFont="1"/>
    <xf numFmtId="177" fontId="1" fillId="0" borderId="3" xfId="22" applyFont="1" applyBorder="1" applyAlignment="1">
      <alignment vertical="center"/>
    </xf>
    <xf numFmtId="177" fontId="2" fillId="0" borderId="3" xfId="22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0" fontId="1" fillId="0" borderId="3" xfId="36" applyNumberFormat="1" applyFont="1" applyBorder="1" applyAlignment="1">
      <alignment horizontal="center" vertical="center"/>
    </xf>
    <xf numFmtId="10" fontId="1" fillId="0" borderId="3" xfId="28" applyNumberFormat="1" applyFont="1" applyBorder="1" applyAlignment="1">
      <alignment horizontal="center" vertical="center"/>
    </xf>
    <xf numFmtId="183" fontId="2" fillId="0" borderId="3" xfId="28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177" fontId="1" fillId="0" borderId="0" xfId="22" applyFont="1"/>
    <xf numFmtId="0" fontId="2" fillId="0" borderId="40" xfId="0" applyFont="1" applyBorder="1" applyAlignment="1">
      <alignment vertical="center"/>
    </xf>
    <xf numFmtId="0" fontId="2" fillId="2" borderId="0" xfId="29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2" fillId="2" borderId="0" xfId="29" applyFont="1" applyFill="1" applyAlignment="1">
      <alignment vertical="center" wrapText="1"/>
      <protection/>
    </xf>
    <xf numFmtId="0" fontId="2" fillId="2" borderId="0" xfId="29" applyFont="1" applyFill="1" applyAlignment="1">
      <alignment horizontal="center" vertical="center" wrapText="1"/>
      <protection/>
    </xf>
    <xf numFmtId="0" fontId="2" fillId="2" borderId="49" xfId="29" applyFont="1" applyFill="1" applyBorder="1" applyAlignment="1">
      <alignment horizontal="center" vertical="center" wrapText="1"/>
      <protection/>
    </xf>
    <xf numFmtId="0" fontId="2" fillId="2" borderId="4" xfId="29" applyFont="1" applyFill="1" applyBorder="1" applyAlignment="1">
      <alignment horizontal="center" vertical="center" wrapText="1"/>
      <protection/>
    </xf>
    <xf numFmtId="0" fontId="2" fillId="2" borderId="13" xfId="29" applyFont="1" applyFill="1" applyBorder="1" applyAlignment="1">
      <alignment horizontal="center" vertical="center" wrapText="1"/>
      <protection/>
    </xf>
    <xf numFmtId="0" fontId="2" fillId="2" borderId="3" xfId="29" applyFont="1" applyFill="1" applyBorder="1" applyAlignment="1">
      <alignment horizontal="center" vertical="center"/>
      <protection/>
    </xf>
    <xf numFmtId="10" fontId="2" fillId="2" borderId="3" xfId="29" applyNumberFormat="1" applyFont="1" applyFill="1" applyBorder="1" applyAlignment="1">
      <alignment vertical="center"/>
      <protection/>
    </xf>
    <xf numFmtId="0" fontId="1" fillId="2" borderId="3" xfId="29" applyFont="1" applyFill="1" applyBorder="1" applyAlignment="1">
      <alignment horizontal="center" vertical="center"/>
      <protection/>
    </xf>
    <xf numFmtId="0" fontId="1" fillId="2" borderId="3" xfId="29" applyFont="1" applyFill="1" applyBorder="1" applyAlignment="1">
      <alignment vertical="center"/>
      <protection/>
    </xf>
    <xf numFmtId="10" fontId="1" fillId="2" borderId="3" xfId="29" applyNumberFormat="1" applyFont="1" applyFill="1" applyBorder="1" applyAlignment="1">
      <alignment vertical="center"/>
      <protection/>
    </xf>
    <xf numFmtId="182" fontId="2" fillId="2" borderId="3" xfId="29" applyNumberFormat="1" applyFont="1" applyFill="1" applyBorder="1" applyAlignment="1">
      <alignment vertical="center"/>
      <protection/>
    </xf>
    <xf numFmtId="182" fontId="1" fillId="2" borderId="3" xfId="29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2" fillId="2" borderId="0" xfId="29" applyFont="1" applyFill="1" applyAlignment="1">
      <alignment horizontal="center" vertical="center"/>
      <protection/>
    </xf>
    <xf numFmtId="0" fontId="2" fillId="0" borderId="20" xfId="29" applyFont="1" applyBorder="1" applyAlignment="1">
      <alignment vertical="center" wrapText="1"/>
      <protection/>
    </xf>
    <xf numFmtId="0" fontId="6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9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left" vertical="center"/>
    </xf>
    <xf numFmtId="177" fontId="1" fillId="0" borderId="0" xfId="16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7" fontId="2" fillId="0" borderId="0" xfId="16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16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7" fontId="2" fillId="0" borderId="50" xfId="16" applyFont="1" applyFill="1" applyBorder="1" applyAlignment="1">
      <alignment horizontal="center" vertical="center" wrapText="1"/>
    </xf>
    <xf numFmtId="177" fontId="2" fillId="0" borderId="3" xfId="16" applyFont="1" applyFill="1" applyBorder="1" applyAlignment="1">
      <alignment horizontal="center" vertical="center" wrapText="1"/>
    </xf>
    <xf numFmtId="177" fontId="2" fillId="0" borderId="3" xfId="16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77" fontId="2" fillId="0" borderId="3" xfId="16" applyFont="1" applyFill="1" applyBorder="1" applyAlignment="1">
      <alignment vertical="center" wrapText="1"/>
    </xf>
    <xf numFmtId="177" fontId="2" fillId="0" borderId="3" xfId="16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7" fontId="1" fillId="0" borderId="3" xfId="16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7" fontId="2" fillId="0" borderId="3" xfId="16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177" fontId="1" fillId="0" borderId="3" xfId="16" applyFont="1" applyFill="1" applyBorder="1" applyAlignment="1">
      <alignment horizontal="right" vertical="center"/>
    </xf>
    <xf numFmtId="180" fontId="1" fillId="0" borderId="3" xfId="18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180" fontId="1" fillId="0" borderId="3" xfId="18" applyFont="1" applyFill="1" applyBorder="1" applyAlignment="1">
      <alignment horizontal="center" vertical="center"/>
    </xf>
    <xf numFmtId="177" fontId="1" fillId="0" borderId="3" xfId="16" applyFont="1" applyFill="1" applyBorder="1" applyAlignment="1">
      <alignment horizontal="center" vertical="center"/>
    </xf>
    <xf numFmtId="177" fontId="2" fillId="0" borderId="3" xfId="16" applyFont="1" applyFill="1" applyBorder="1" applyAlignment="1">
      <alignment horizontal="right" vertical="center"/>
    </xf>
    <xf numFmtId="177" fontId="3" fillId="0" borderId="3" xfId="16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180" fontId="2" fillId="0" borderId="0" xfId="18" applyFont="1" applyFill="1" applyBorder="1" applyAlignment="1">
      <alignment horizontal="center" vertical="center" wrapText="1"/>
    </xf>
    <xf numFmtId="180" fontId="2" fillId="0" borderId="0" xfId="18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1" fillId="0" borderId="0" xfId="16" applyFont="1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177" fontId="1" fillId="0" borderId="0" xfId="16" applyFont="1" applyFill="1" applyAlignment="1">
      <alignment horizontal="right" vertical="center"/>
    </xf>
  </cellXfs>
  <cellStyles count="23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3" xfId="20"/>
    <cellStyle name="Moeda 2" xfId="21"/>
    <cellStyle name="Moeda" xfId="22"/>
    <cellStyle name="Vírgula" xfId="23"/>
    <cellStyle name="Normal 4" xfId="24"/>
    <cellStyle name="Vírgula 2" xfId="25"/>
    <cellStyle name="Moeda 10" xfId="26"/>
    <cellStyle name="Porcentagem 2" xfId="27"/>
    <cellStyle name="Porcentagem" xfId="28"/>
    <cellStyle name="Normal 2" xfId="29"/>
    <cellStyle name="Normal 5" xfId="30"/>
    <cellStyle name="Normal 10" xfId="31"/>
    <cellStyle name="Normal 2 2 2 2" xfId="32"/>
    <cellStyle name="Vírgula 10" xfId="33"/>
    <cellStyle name="Porcentagem 4" xfId="34"/>
    <cellStyle name="Normal 3 2" xfId="35"/>
    <cellStyle name="Separador de milhares 2" xfId="36"/>
  </cellStyles>
  <dxfs count="1">
    <dxf>
      <font>
        <color rgb="FFFF0000"/>
      </font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3" Type="http://schemas.openxmlformats.org/officeDocument/2006/relationships/worksheet" Target="worksheets/sheet21.xml" /><Relationship Id="rId26" Type="http://schemas.openxmlformats.org/officeDocument/2006/relationships/worksheet" Target="worksheets/sheet24.xml" /><Relationship Id="rId7" Type="http://schemas.openxmlformats.org/officeDocument/2006/relationships/worksheet" Target="worksheets/sheet5.xml" /><Relationship Id="rId12" Type="http://schemas.openxmlformats.org/officeDocument/2006/relationships/worksheet" Target="worksheets/sheet10.xml" /><Relationship Id="rId25" Type="http://schemas.openxmlformats.org/officeDocument/2006/relationships/worksheet" Target="worksheets/sheet23.xml" /><Relationship Id="rId19" Type="http://schemas.openxmlformats.org/officeDocument/2006/relationships/worksheet" Target="worksheets/sheet17.xml" /><Relationship Id="rId3" Type="http://schemas.openxmlformats.org/officeDocument/2006/relationships/worksheet" Target="worksheets/sheet1.xml" /><Relationship Id="rId24" Type="http://schemas.openxmlformats.org/officeDocument/2006/relationships/worksheet" Target="worksheets/sheet22.xml" /><Relationship Id="rId13" Type="http://schemas.openxmlformats.org/officeDocument/2006/relationships/worksheet" Target="worksheets/sheet11.xml" /><Relationship Id="rId1" Type="http://schemas.openxmlformats.org/officeDocument/2006/relationships/theme" Target="theme/theme1.xml" /><Relationship Id="rId15" Type="http://schemas.openxmlformats.org/officeDocument/2006/relationships/worksheet" Target="worksheets/sheet13.xml" /><Relationship Id="rId30" Type="http://schemas.openxmlformats.org/officeDocument/2006/relationships/calcChain" Target="calcChain.xml" /><Relationship Id="rId14" Type="http://schemas.openxmlformats.org/officeDocument/2006/relationships/worksheet" Target="worksheets/sheet12.xml" /><Relationship Id="rId2" Type="http://schemas.openxmlformats.org/officeDocument/2006/relationships/styles" Target="styles.xml" /><Relationship Id="rId20" Type="http://schemas.openxmlformats.org/officeDocument/2006/relationships/worksheet" Target="worksheets/sheet18.xml" /><Relationship Id="rId27" Type="http://schemas.openxmlformats.org/officeDocument/2006/relationships/worksheet" Target="worksheets/sheet25.xml" /><Relationship Id="rId6" Type="http://schemas.openxmlformats.org/officeDocument/2006/relationships/worksheet" Target="worksheets/sheet4.xml" /><Relationship Id="rId22" Type="http://schemas.openxmlformats.org/officeDocument/2006/relationships/worksheet" Target="worksheets/sheet20.xml" /><Relationship Id="rId16" Type="http://schemas.openxmlformats.org/officeDocument/2006/relationships/worksheet" Target="worksheets/sheet14.xml" /><Relationship Id="rId29" Type="http://schemas.openxmlformats.org/officeDocument/2006/relationships/externalLink" Target="externalLinks/externalLink1.xml" /><Relationship Id="rId18" Type="http://schemas.openxmlformats.org/officeDocument/2006/relationships/worksheet" Target="worksheets/sheet16.xml" /><Relationship Id="rId11" Type="http://schemas.openxmlformats.org/officeDocument/2006/relationships/worksheet" Target="worksheets/sheet9.xml" /><Relationship Id="rId10" Type="http://schemas.openxmlformats.org/officeDocument/2006/relationships/worksheet" Target="worksheets/sheet8.xml" /><Relationship Id="rId8" Type="http://schemas.openxmlformats.org/officeDocument/2006/relationships/worksheet" Target="worksheets/sheet6.xml" /><Relationship Id="rId28" Type="http://schemas.openxmlformats.org/officeDocument/2006/relationships/sharedStrings" Target="sharedStrings.xml" /><Relationship Id="rId5" Type="http://schemas.openxmlformats.org/officeDocument/2006/relationships/worksheet" Target="worksheets/sheet3.xml" /><Relationship Id="rId4" Type="http://schemas.openxmlformats.org/officeDocument/2006/relationships/worksheet" Target="worksheets/sheet2.xml" /><Relationship Id="rId9" Type="http://schemas.openxmlformats.org/officeDocument/2006/relationships/worksheet" Target="worksheets/sheet7.xml" /><Relationship Id="rId21" Type="http://schemas.openxmlformats.org/officeDocument/2006/relationships/worksheet" Target="worksheets/sheet19.xml" /><Relationship Id="rId17" Type="http://schemas.openxmlformats.org/officeDocument/2006/relationships/worksheet" Target="worksheets/sheet15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39370</xdr:colOff>
      <xdr:row>1</xdr:row>
      <xdr:rowOff>145415</xdr:rowOff>
    </xdr:from>
    <xdr:to>
      <xdr:col>19</xdr:col>
      <xdr:colOff>546100</xdr:colOff>
      <xdr:row>6</xdr:row>
      <xdr:rowOff>104140</xdr:rowOff>
    </xdr:to>
    <xdr:pic>
      <xdr:nvPicPr>
        <xdr:cNvPr id="1" name="Imagem 1" descr="Timbre Terra Santa">
          <a:extLst>
            <a:ext uri="{FF2B5EF4-FFF2-40B4-BE49-F238E27FC236}">
              <a16:creationId xmlns:a16="http://schemas.microsoft.com/office/drawing/2014/main" id="{d9d1bbd8-94ef-438f-9064-9cf06d070221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8934450" y="304800"/>
          <a:ext cx="1114425" cy="771525"/>
        </a:xfrm>
        <a:prstGeom prst="rect"/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220980</xdr:colOff>
      <xdr:row>1</xdr:row>
      <xdr:rowOff>34290</xdr:rowOff>
    </xdr:from>
    <xdr:to>
      <xdr:col>6</xdr:col>
      <xdr:colOff>556260</xdr:colOff>
      <xdr:row>6</xdr:row>
      <xdr:rowOff>0</xdr:rowOff>
    </xdr:to>
    <xdr:pic>
      <xdr:nvPicPr>
        <xdr:cNvPr id="1" name="Imagem 1" descr="Timbre Terra Santa">
          <a:extLst>
            <a:ext uri="{FF2B5EF4-FFF2-40B4-BE49-F238E27FC236}">
              <a16:creationId xmlns:a16="http://schemas.microsoft.com/office/drawing/2014/main" id="{a3eddcf4-c771-4708-ab5b-8648108cf0f8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6791325" y="200025"/>
          <a:ext cx="1000125" cy="771525"/>
        </a:xfrm>
        <a:prstGeom prst="rect"/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0</xdr:row>
      <xdr:rowOff>50800</xdr:rowOff>
    </xdr:from>
    <xdr:to>
      <xdr:col>5</xdr:col>
      <xdr:colOff>759829</xdr:colOff>
      <xdr:row>3</xdr:row>
      <xdr:rowOff>133350</xdr:rowOff>
    </xdr:to>
    <xdr:pic>
      <xdr:nvPicPr>
        <xdr:cNvPr id="1" name="Imagem 1" descr="Timbre Terra Santa">
          <a:extLst>
            <a:ext uri="{FF2B5EF4-FFF2-40B4-BE49-F238E27FC236}">
              <a16:creationId xmlns:a16="http://schemas.microsoft.com/office/drawing/2014/main" id="{a2860757-a506-45c2-a9fe-6a77477bb765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6391275" y="47625"/>
          <a:ext cx="771525" cy="628650"/>
        </a:xfrm>
        <a:prstGeom prst="rect"/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855979</xdr:colOff>
      <xdr:row>0</xdr:row>
      <xdr:rowOff>88900</xdr:rowOff>
    </xdr:from>
    <xdr:to>
      <xdr:col>5</xdr:col>
      <xdr:colOff>1025524</xdr:colOff>
      <xdr:row>5</xdr:row>
      <xdr:rowOff>27940</xdr:rowOff>
    </xdr:to>
    <xdr:pic>
      <xdr:nvPicPr>
        <xdr:cNvPr id="1" name="Imagem 2" descr="C:\Users\Controle Interno\Documents\Municipio.bmp">
          <a:extLst>
            <a:ext uri="{FF2B5EF4-FFF2-40B4-BE49-F238E27FC236}">
              <a16:creationId xmlns:a16="http://schemas.microsoft.com/office/drawing/2014/main" id="{f9ab1b72-a5fc-4ed1-aafe-d824fc007840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85725"/>
          <a:ext cx="1028700" cy="752475"/>
        </a:xfrm>
        <a:prstGeom prst="rect"/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5</xdr:col>
      <xdr:colOff>321945</xdr:colOff>
      <xdr:row>5</xdr:row>
      <xdr:rowOff>100965</xdr:rowOff>
    </xdr:to>
    <xdr:pic>
      <xdr:nvPicPr>
        <xdr:cNvPr id="1" name="Imagem 2" descr="C:\Users\Controle Interno\Documents\Municipio.bmp">
          <a:extLst>
            <a:ext uri="{FF2B5EF4-FFF2-40B4-BE49-F238E27FC236}">
              <a16:creationId xmlns:a16="http://schemas.microsoft.com/office/drawing/2014/main" id="{7b3e434f-41d6-43a7-8f6f-17e2d4abf1b1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61925"/>
          <a:ext cx="1009650" cy="752475"/>
        </a:xfrm>
        <a:prstGeom prst="rect"/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874059</xdr:colOff>
      <xdr:row>0</xdr:row>
      <xdr:rowOff>123264</xdr:rowOff>
    </xdr:from>
    <xdr:to>
      <xdr:col>20</xdr:col>
      <xdr:colOff>862070</xdr:colOff>
      <xdr:row>5</xdr:row>
      <xdr:rowOff>87517</xdr:rowOff>
    </xdr:to>
    <xdr:pic>
      <xdr:nvPicPr>
        <xdr:cNvPr id="1" name="Imagem 2" descr="C:\Users\Controle Interno\Documents\Municipio.bmp">
          <a:extLst>
            <a:ext uri="{FF2B5EF4-FFF2-40B4-BE49-F238E27FC236}">
              <a16:creationId xmlns:a16="http://schemas.microsoft.com/office/drawing/2014/main" id="{948a05d9-5970-4511-b0c9-4cd78ce515c9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123825"/>
          <a:ext cx="1009650" cy="771525"/>
        </a:xfrm>
        <a:prstGeom prst="rect"/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25</xdr:row>
      <xdr:rowOff>104775</xdr:rowOff>
    </xdr:from>
    <xdr:to>
      <xdr:col>2</xdr:col>
      <xdr:colOff>790575</xdr:colOff>
      <xdr:row>28</xdr:row>
      <xdr:rowOff>0</xdr:rowOff>
    </xdr:to>
    <xdr:pic>
      <xdr:nvPicPr>
        <xdr:cNvPr id="1" name="Imagem 3">
          <a:extLst>
            <a:ext uri="{FF2B5EF4-FFF2-40B4-BE49-F238E27FC236}">
              <a16:creationId xmlns:a16="http://schemas.microsoft.com/office/drawing/2014/main" id="{7e500b87-b98c-42ee-90ce-4d8e8b386201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152900"/>
          <a:ext cx="2562225" cy="381000"/>
        </a:xfrm>
        <a:prstGeom prst="rect"/>
      </xdr:spPr>
    </xdr:pic>
    <xdr:clientData/>
  </xdr:twoCellAnchor>
  <xdr:twoCellAnchor editAs="oneCell">
    <xdr:from>
      <xdr:col>2</xdr:col>
      <xdr:colOff>523875</xdr:colOff>
      <xdr:row>0</xdr:row>
      <xdr:rowOff>95250</xdr:rowOff>
    </xdr:from>
    <xdr:to>
      <xdr:col>2</xdr:col>
      <xdr:colOff>1531620</xdr:colOff>
      <xdr:row>5</xdr:row>
      <xdr:rowOff>34290</xdr:rowOff>
    </xdr:to>
    <xdr:pic>
      <xdr:nvPicPr>
        <xdr:cNvPr id="2" name="Imagem 4" descr="C:\Users\Controle Interno\Documents\Municipio.bmp">
          <a:extLst>
            <a:ext uri="{FF2B5EF4-FFF2-40B4-BE49-F238E27FC236}">
              <a16:creationId xmlns:a16="http://schemas.microsoft.com/office/drawing/2014/main" id="{3eb414ca-313f-44f4-afe3-2112075efcb0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5250"/>
          <a:ext cx="1009650" cy="752475"/>
        </a:xfrm>
        <a:prstGeom prst="rect"/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38100</xdr:rowOff>
    </xdr:from>
    <xdr:to>
      <xdr:col>3</xdr:col>
      <xdr:colOff>1007745</xdr:colOff>
      <xdr:row>4</xdr:row>
      <xdr:rowOff>139065</xdr:rowOff>
    </xdr:to>
    <xdr:pic>
      <xdr:nvPicPr>
        <xdr:cNvPr id="1" name="Imagem 2" descr="C:\Users\Controle Interno\Documents\Municipio.bmp">
          <a:extLst>
            <a:ext uri="{FF2B5EF4-FFF2-40B4-BE49-F238E27FC236}">
              <a16:creationId xmlns:a16="http://schemas.microsoft.com/office/drawing/2014/main" id="{9e247ff0-e0eb-4092-bb55-86d4adc10b4c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38100"/>
          <a:ext cx="1009650" cy="752475"/>
        </a:xfrm>
        <a:prstGeom prst="rect"/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92926</xdr:colOff>
      <xdr:row>1</xdr:row>
      <xdr:rowOff>130826</xdr:rowOff>
    </xdr:from>
    <xdr:to>
      <xdr:col>17</xdr:col>
      <xdr:colOff>813109</xdr:colOff>
      <xdr:row>7</xdr:row>
      <xdr:rowOff>31517</xdr:rowOff>
    </xdr:to>
    <xdr:pic>
      <xdr:nvPicPr>
        <xdr:cNvPr id="1" name="Imagem 3" descr="Timbre Terra Santa">
          <a:extLst>
            <a:ext uri="{FF2B5EF4-FFF2-40B4-BE49-F238E27FC236}">
              <a16:creationId xmlns:a16="http://schemas.microsoft.com/office/drawing/2014/main" id="{416c225f-8f79-4bee-9bb4-94e78871dd15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8401050" y="323850"/>
          <a:ext cx="1333500" cy="1047750"/>
        </a:xfrm>
        <a:prstGeom prst="rect"/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89648</xdr:colOff>
      <xdr:row>0</xdr:row>
      <xdr:rowOff>33618</xdr:rowOff>
    </xdr:from>
    <xdr:to>
      <xdr:col>9</xdr:col>
      <xdr:colOff>235325</xdr:colOff>
      <xdr:row>5</xdr:row>
      <xdr:rowOff>96931</xdr:rowOff>
    </xdr:to>
    <xdr:pic>
      <xdr:nvPicPr>
        <xdr:cNvPr id="1" name="Imagem 2" descr="Timbre Terra Santa">
          <a:extLst>
            <a:ext uri="{FF2B5EF4-FFF2-40B4-BE49-F238E27FC236}">
              <a16:creationId xmlns:a16="http://schemas.microsoft.com/office/drawing/2014/main" id="{16b2ca95-ab5a-437e-bb2a-e1dc5e1d5c95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8343900" y="38100"/>
          <a:ext cx="1143000" cy="876300"/>
        </a:xfrm>
        <a:prstGeom prst="rect"/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28575</xdr:rowOff>
    </xdr:from>
    <xdr:to>
      <xdr:col>6</xdr:col>
      <xdr:colOff>676276</xdr:colOff>
      <xdr:row>6</xdr:row>
      <xdr:rowOff>66675</xdr:rowOff>
    </xdr:to>
    <xdr:pic>
      <xdr:nvPicPr>
        <xdr:cNvPr id="1" name="Imagem 2" descr="Timbre Terra Santa">
          <a:extLst>
            <a:ext uri="{FF2B5EF4-FFF2-40B4-BE49-F238E27FC236}">
              <a16:creationId xmlns:a16="http://schemas.microsoft.com/office/drawing/2014/main" id="{45afd08f-de2e-4b75-8ef9-34b2d6f622cd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7934325" y="190500"/>
          <a:ext cx="1143000" cy="847725"/>
        </a:xfrm>
        <a:prstGeom prst="rect"/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220980</xdr:colOff>
      <xdr:row>1</xdr:row>
      <xdr:rowOff>34290</xdr:rowOff>
    </xdr:from>
    <xdr:to>
      <xdr:col>6</xdr:col>
      <xdr:colOff>556260</xdr:colOff>
      <xdr:row>6</xdr:row>
      <xdr:rowOff>0</xdr:rowOff>
    </xdr:to>
    <xdr:pic>
      <xdr:nvPicPr>
        <xdr:cNvPr id="1" name="Imagem 1" descr="Timbre Terra Santa">
          <a:extLst>
            <a:ext uri="{FF2B5EF4-FFF2-40B4-BE49-F238E27FC236}">
              <a16:creationId xmlns:a16="http://schemas.microsoft.com/office/drawing/2014/main" id="{9d71da12-0d54-4698-b38f-85c2dab3b093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6791325" y="200025"/>
          <a:ext cx="1000125" cy="771525"/>
        </a:xfrm>
        <a:prstGeom prst="rect"/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468406</xdr:colOff>
      <xdr:row>0</xdr:row>
      <xdr:rowOff>78441</xdr:rowOff>
    </xdr:from>
    <xdr:to>
      <xdr:col>11</xdr:col>
      <xdr:colOff>324972</xdr:colOff>
      <xdr:row>5</xdr:row>
      <xdr:rowOff>141754</xdr:rowOff>
    </xdr:to>
    <xdr:pic>
      <xdr:nvPicPr>
        <xdr:cNvPr id="1" name="Imagem 2" descr="Timbre Terra Santa">
          <a:extLst>
            <a:ext uri="{FF2B5EF4-FFF2-40B4-BE49-F238E27FC236}">
              <a16:creationId xmlns:a16="http://schemas.microsoft.com/office/drawing/2014/main" id="{4d7ee11c-e97c-4712-b6f4-e64fb3f614b4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9544050" y="76200"/>
          <a:ext cx="1724025" cy="876300"/>
        </a:xfrm>
        <a:prstGeom prst="rect"/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25</xdr:row>
      <xdr:rowOff>104774</xdr:rowOff>
    </xdr:from>
    <xdr:to>
      <xdr:col>2</xdr:col>
      <xdr:colOff>695325</xdr:colOff>
      <xdr:row>26</xdr:row>
      <xdr:rowOff>296312</xdr:rowOff>
    </xdr:to>
    <xdr:pic>
      <xdr:nvPicPr>
        <xdr:cNvPr id="1" name="Imagem 3">
          <a:extLst>
            <a:ext uri="{FF2B5EF4-FFF2-40B4-BE49-F238E27FC236}">
              <a16:creationId xmlns:a16="http://schemas.microsoft.com/office/drawing/2014/main" id="{2c5b1386-7ca6-4f20-9535-54d77cdde1c0}"/>
            </a:ext>
          </a:extLst>
        </xdr:cNvPr>
        <xdr:cNvPicPr>
          <a:picLocks noChangeArrowheads="1"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4305300"/>
          <a:ext cx="2295525" cy="352425"/>
        </a:xfrm>
        <a:prstGeom prst="rect"/>
        <a:noFill/>
        <a:ln>
          <a:noFill/>
        </a:ln>
      </xdr:spPr>
    </xdr:pic>
    <xdr:clientData/>
  </xdr:twoCellAnchor>
  <xdr:twoCellAnchor>
    <xdr:from>
      <xdr:col>2</xdr:col>
      <xdr:colOff>800100</xdr:colOff>
      <xdr:row>1</xdr:row>
      <xdr:rowOff>28575</xdr:rowOff>
    </xdr:from>
    <xdr:to>
      <xdr:col>2</xdr:col>
      <xdr:colOff>1647825</xdr:colOff>
      <xdr:row>5</xdr:row>
      <xdr:rowOff>9604</xdr:rowOff>
    </xdr:to>
    <xdr:pic>
      <xdr:nvPicPr>
        <xdr:cNvPr id="2" name="Imagem 3" descr="Timbre Terra Santa">
          <a:extLst>
            <a:ext uri="{FF2B5EF4-FFF2-40B4-BE49-F238E27FC236}">
              <a16:creationId xmlns:a16="http://schemas.microsoft.com/office/drawing/2014/main" id="{919f729b-0000-4c54-bf31-23d2fa003cf0}"/>
            </a:ext>
          </a:extLst>
        </xdr:cNvPr>
        <xdr:cNvPicPr>
          <a:picLocks noChangeArrowheads="1" noChangeAspect="1"/>
        </xdr:cNvPicPr>
      </xdr:nvPicPr>
      <xdr:blipFill>
        <a:blip r:embed="rId2"/>
        <a:stretch>
          <a:fillRect/>
        </a:stretch>
      </xdr:blipFill>
      <xdr:spPr>
        <a:xfrm>
          <a:off x="3200400" y="190500"/>
          <a:ext cx="847725" cy="628650"/>
        </a:xfrm>
        <a:prstGeom prst="rect"/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95251</xdr:rowOff>
    </xdr:from>
    <xdr:to>
      <xdr:col>3</xdr:col>
      <xdr:colOff>790575</xdr:colOff>
      <xdr:row>5</xdr:row>
      <xdr:rowOff>13256</xdr:rowOff>
    </xdr:to>
    <xdr:pic>
      <xdr:nvPicPr>
        <xdr:cNvPr id="1" name="Imagem 2" descr="Timbre Terra Santa">
          <a:extLst>
            <a:ext uri="{FF2B5EF4-FFF2-40B4-BE49-F238E27FC236}">
              <a16:creationId xmlns:a16="http://schemas.microsoft.com/office/drawing/2014/main" id="{9a61451f-d32d-47d6-a88f-d8568f6b358b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4105275" y="95250"/>
          <a:ext cx="981075" cy="723900"/>
        </a:xfrm>
        <a:prstGeom prst="rect"/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445889</xdr:colOff>
      <xdr:row>0</xdr:row>
      <xdr:rowOff>164083</xdr:rowOff>
    </xdr:from>
    <xdr:to>
      <xdr:col>33</xdr:col>
      <xdr:colOff>36909</xdr:colOff>
      <xdr:row>6</xdr:row>
      <xdr:rowOff>66973</xdr:rowOff>
    </xdr:to>
    <xdr:pic>
      <xdr:nvPicPr>
        <xdr:cNvPr id="1" name="Imagem 1">
          <a:extLst>
            <a:ext uri="{FF2B5EF4-FFF2-40B4-BE49-F238E27FC236}">
              <a16:creationId xmlns:a16="http://schemas.microsoft.com/office/drawing/2014/main" id="{3b38b1da-dec0-4eb4-87bd-7c7099b6cdf1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61925"/>
          <a:ext cx="1104900" cy="895350"/>
        </a:xfrm>
        <a:prstGeom prst="rect"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445889</xdr:colOff>
      <xdr:row>0</xdr:row>
      <xdr:rowOff>164083</xdr:rowOff>
    </xdr:from>
    <xdr:to>
      <xdr:col>33</xdr:col>
      <xdr:colOff>36909</xdr:colOff>
      <xdr:row>6</xdr:row>
      <xdr:rowOff>66973</xdr:rowOff>
    </xdr:to>
    <xdr:pic>
      <xdr:nvPicPr>
        <xdr:cNvPr id="1" name="Imagem 1">
          <a:extLst>
            <a:ext uri="{FF2B5EF4-FFF2-40B4-BE49-F238E27FC236}">
              <a16:creationId xmlns:a16="http://schemas.microsoft.com/office/drawing/2014/main" id="{d17ec940-0e65-4918-b9f9-ad0faf4b7fa1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104900" cy="895350"/>
        </a:xfrm>
        <a:prstGeom prst="rect"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0</xdr:row>
      <xdr:rowOff>50800</xdr:rowOff>
    </xdr:from>
    <xdr:to>
      <xdr:col>5</xdr:col>
      <xdr:colOff>759829</xdr:colOff>
      <xdr:row>3</xdr:row>
      <xdr:rowOff>133350</xdr:rowOff>
    </xdr:to>
    <xdr:pic>
      <xdr:nvPicPr>
        <xdr:cNvPr id="1" name="Imagem 1" descr="Timbre Terra Santa">
          <a:extLst>
            <a:ext uri="{FF2B5EF4-FFF2-40B4-BE49-F238E27FC236}">
              <a16:creationId xmlns:a16="http://schemas.microsoft.com/office/drawing/2014/main" id="{c49a56fa-ac47-4562-af54-7d5f6bc6427b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6391275" y="47625"/>
          <a:ext cx="771525" cy="628650"/>
        </a:xfrm>
        <a:prstGeom prst="rect"/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855979</xdr:colOff>
      <xdr:row>0</xdr:row>
      <xdr:rowOff>88900</xdr:rowOff>
    </xdr:from>
    <xdr:to>
      <xdr:col>5</xdr:col>
      <xdr:colOff>1025524</xdr:colOff>
      <xdr:row>5</xdr:row>
      <xdr:rowOff>27940</xdr:rowOff>
    </xdr:to>
    <xdr:pic>
      <xdr:nvPicPr>
        <xdr:cNvPr id="1" name="Imagem 2" descr="C:\Users\Controle Interno\Documents\Municipio.bmp">
          <a:extLst>
            <a:ext uri="{FF2B5EF4-FFF2-40B4-BE49-F238E27FC236}">
              <a16:creationId xmlns:a16="http://schemas.microsoft.com/office/drawing/2014/main" id="{1b7c5062-6dde-4fcd-80da-c6e48a888215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85725"/>
          <a:ext cx="1028700" cy="752475"/>
        </a:xfrm>
        <a:prstGeom prst="rect"/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5</xdr:col>
      <xdr:colOff>321945</xdr:colOff>
      <xdr:row>5</xdr:row>
      <xdr:rowOff>100965</xdr:rowOff>
    </xdr:to>
    <xdr:pic>
      <xdr:nvPicPr>
        <xdr:cNvPr id="1" name="Imagem 2" descr="C:\Users\Controle Interno\Documents\Municipio.bmp">
          <a:extLst>
            <a:ext uri="{FF2B5EF4-FFF2-40B4-BE49-F238E27FC236}">
              <a16:creationId xmlns:a16="http://schemas.microsoft.com/office/drawing/2014/main" id="{05ba92c8-8e3b-4f2e-8cf4-56fb8804e311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61925"/>
          <a:ext cx="1009650" cy="752475"/>
        </a:xfrm>
        <a:prstGeom prst="rect"/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874059</xdr:colOff>
      <xdr:row>0</xdr:row>
      <xdr:rowOff>123264</xdr:rowOff>
    </xdr:from>
    <xdr:to>
      <xdr:col>20</xdr:col>
      <xdr:colOff>862070</xdr:colOff>
      <xdr:row>5</xdr:row>
      <xdr:rowOff>87517</xdr:rowOff>
    </xdr:to>
    <xdr:pic>
      <xdr:nvPicPr>
        <xdr:cNvPr id="1" name="Imagem 2" descr="C:\Users\Controle Interno\Documents\Municipio.bmp">
          <a:extLst>
            <a:ext uri="{FF2B5EF4-FFF2-40B4-BE49-F238E27FC236}">
              <a16:creationId xmlns:a16="http://schemas.microsoft.com/office/drawing/2014/main" id="{fdb4fd33-3bcd-482d-9787-bba439133fe9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123825"/>
          <a:ext cx="1009650" cy="771525"/>
        </a:xfrm>
        <a:prstGeom prst="rect"/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25</xdr:row>
      <xdr:rowOff>104775</xdr:rowOff>
    </xdr:from>
    <xdr:to>
      <xdr:col>2</xdr:col>
      <xdr:colOff>790575</xdr:colOff>
      <xdr:row>28</xdr:row>
      <xdr:rowOff>0</xdr:rowOff>
    </xdr:to>
    <xdr:pic>
      <xdr:nvPicPr>
        <xdr:cNvPr id="1" name="Imagem 3">
          <a:extLst>
            <a:ext uri="{FF2B5EF4-FFF2-40B4-BE49-F238E27FC236}">
              <a16:creationId xmlns:a16="http://schemas.microsoft.com/office/drawing/2014/main" id="{d10eb3b3-fa21-4739-9ddc-abe4233eb42e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152900"/>
          <a:ext cx="2562225" cy="381000"/>
        </a:xfrm>
        <a:prstGeom prst="rect"/>
      </xdr:spPr>
    </xdr:pic>
    <xdr:clientData/>
  </xdr:twoCellAnchor>
  <xdr:twoCellAnchor editAs="oneCell">
    <xdr:from>
      <xdr:col>2</xdr:col>
      <xdr:colOff>523875</xdr:colOff>
      <xdr:row>0</xdr:row>
      <xdr:rowOff>95250</xdr:rowOff>
    </xdr:from>
    <xdr:to>
      <xdr:col>2</xdr:col>
      <xdr:colOff>1531620</xdr:colOff>
      <xdr:row>5</xdr:row>
      <xdr:rowOff>34290</xdr:rowOff>
    </xdr:to>
    <xdr:pic>
      <xdr:nvPicPr>
        <xdr:cNvPr id="2" name="Imagem 4" descr="C:\Users\Controle Interno\Documents\Municipio.bmp">
          <a:extLst>
            <a:ext uri="{FF2B5EF4-FFF2-40B4-BE49-F238E27FC236}">
              <a16:creationId xmlns:a16="http://schemas.microsoft.com/office/drawing/2014/main" id="{58827ccf-f594-4ada-877a-291f45ce84ad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95250"/>
          <a:ext cx="1009650" cy="752475"/>
        </a:xfrm>
        <a:prstGeom prst="rect"/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38100</xdr:rowOff>
    </xdr:from>
    <xdr:to>
      <xdr:col>3</xdr:col>
      <xdr:colOff>1007745</xdr:colOff>
      <xdr:row>4</xdr:row>
      <xdr:rowOff>139065</xdr:rowOff>
    </xdr:to>
    <xdr:pic>
      <xdr:nvPicPr>
        <xdr:cNvPr id="1" name="Imagem 2" descr="C:\Users\Controle Interno\Documents\Municipio.bmp">
          <a:extLst>
            <a:ext uri="{FF2B5EF4-FFF2-40B4-BE49-F238E27FC236}">
              <a16:creationId xmlns:a16="http://schemas.microsoft.com/office/drawing/2014/main" id="{34eb2b19-9944-4522-82c2-d604732c5696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38100"/>
          <a:ext cx="1009650" cy="752475"/>
        </a:xfrm>
        <a:prstGeom prst="rect"/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39370</xdr:colOff>
      <xdr:row>1</xdr:row>
      <xdr:rowOff>145415</xdr:rowOff>
    </xdr:from>
    <xdr:to>
      <xdr:col>19</xdr:col>
      <xdr:colOff>546100</xdr:colOff>
      <xdr:row>6</xdr:row>
      <xdr:rowOff>104140</xdr:rowOff>
    </xdr:to>
    <xdr:pic>
      <xdr:nvPicPr>
        <xdr:cNvPr id="1" name="Imagem 1" descr="Timbre Terra Santa">
          <a:extLst>
            <a:ext uri="{FF2B5EF4-FFF2-40B4-BE49-F238E27FC236}">
              <a16:creationId xmlns:a16="http://schemas.microsoft.com/office/drawing/2014/main" id="{ec6f397c-9e79-419b-a6e6-ae04c4ad37d1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>
        <a:xfrm>
          <a:off x="8867775" y="304800"/>
          <a:ext cx="1114425" cy="771525"/>
        </a:xfrm>
        <a:prstGeom prst="rect"/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PC-TEMPLO\Google%20Drive\TEMPLO\4.Prefeitura%20Municipal%20de%20Salvaterra\Escolas\Escola%20Bairro%20Alto-Constru&#231;&#227;o\Esc.Bairro%20Alto-R03.Out.2022\Excel%20e%20Word\Plan.Or&#231;-Esc.Bairro%20Alto-R03.Out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.ORÇ"/>
      <sheetName val="Comp. Ins."/>
      <sheetName val="MEM.CÁLCULO"/>
      <sheetName val="CPU"/>
      <sheetName val="CRONOGRAMA"/>
      <sheetName val="BDI"/>
      <sheetName val="ENC.SOCI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f2ab6a2-fbe0-4f93-b66f-ef8d5e99b6ba}">
  <sheetPr>
    <pageSetUpPr fitToPage="1"/>
  </sheetPr>
  <dimension ref="A1:V40"/>
  <sheetViews>
    <sheetView showGridLines="0" tabSelected="1" view="pageBreakPreview" zoomScaleNormal="100" zoomScaleSheetLayoutView="100" workbookViewId="0" topLeftCell="A1">
      <selection pane="topLeft" activeCell="D36" sqref="D36"/>
    </sheetView>
  </sheetViews>
  <sheetFormatPr defaultColWidth="4.0042857142857144" defaultRowHeight="13" customHeight="1"/>
  <cols>
    <col min="1" max="1" width="4.714285714285714" style="61" bestFit="1" customWidth="1"/>
    <col min="2" max="2" width="62.42857142857143" style="61" customWidth="1"/>
    <col min="3" max="3" width="3.857142857142857" style="62" bestFit="1" customWidth="1"/>
    <col min="4" max="4" width="8.857142857142858" style="61" bestFit="1" customWidth="1"/>
    <col min="5" max="5" width="13.285714285714286" style="61" bestFit="1" customWidth="1"/>
    <col min="6" max="6" width="15" style="61" bestFit="1" customWidth="1"/>
    <col min="7" max="7" width="12.428571428571429" style="61" bestFit="1" customWidth="1"/>
    <col min="8" max="8" width="12.857142857142858" style="61" bestFit="1" customWidth="1"/>
    <col min="9" max="18" width="9.142857142857142" style="61" hidden="1" customWidth="1"/>
    <col min="19" max="19" width="9.142857142857142" style="61" customWidth="1"/>
    <col min="20" max="20" width="12.857142857142858" style="61" bestFit="1" customWidth="1"/>
    <col min="21" max="21" width="9.142857142857142" style="61" customWidth="1"/>
    <col min="22" max="22" width="14.857142857142858" style="61" bestFit="1" customWidth="1"/>
    <col min="23" max="78" width="9.142857142857142" style="61" customWidth="1"/>
    <col min="79" max="16384" width="4" style="61"/>
  </cols>
  <sheetData>
    <row r="1" spans="1:6" ht="13">
      <c r="A1" s="2" t="s">
        <v>0</v>
      </c>
      <c r="B1" s="2"/>
      <c r="C1" s="3"/>
      <c r="D1" s="4"/>
      <c r="E1" s="5"/>
      <c r="F1" s="5"/>
    </row>
    <row r="2" spans="1:22" ht="13">
      <c r="A2" s="2" t="s">
        <v>1</v>
      </c>
      <c r="B2" s="2"/>
      <c r="C2" s="6"/>
      <c r="D2" s="2"/>
      <c r="E2" s="7"/>
      <c r="F2" s="8"/>
      <c r="U2" s="9" t="s">
        <v>2</v>
      </c>
      <c r="V2" s="9"/>
    </row>
    <row r="3" spans="1:22" ht="13" customHeight="1">
      <c r="A3" s="2" t="s">
        <v>3</v>
      </c>
      <c r="B3" s="2"/>
      <c r="C3" s="6"/>
      <c r="D3" s="2"/>
      <c r="E3" s="7"/>
      <c r="F3" s="8"/>
      <c r="U3" s="10">
        <v>1</v>
      </c>
      <c r="V3" s="10"/>
    </row>
    <row r="4" spans="1:22" ht="13" customHeight="1">
      <c r="A4" s="2"/>
      <c r="B4" s="2"/>
      <c r="C4" s="6"/>
      <c r="D4" s="2"/>
      <c r="E4" s="7"/>
      <c r="F4" s="8"/>
      <c r="U4" s="10"/>
      <c r="V4" s="10"/>
    </row>
    <row r="5" spans="1:22" ht="13" customHeight="1">
      <c r="A5" s="2" t="s">
        <v>4</v>
      </c>
      <c r="B5" s="11"/>
      <c r="C5" s="3"/>
      <c r="D5" s="12"/>
      <c r="E5" s="8"/>
      <c r="F5" s="8"/>
      <c r="U5" s="10"/>
      <c r="V5" s="10"/>
    </row>
    <row r="6" spans="1:22" ht="13">
      <c r="A6" s="2" t="s">
        <v>5</v>
      </c>
      <c r="B6" s="11"/>
      <c r="C6" s="3"/>
      <c r="D6" s="12"/>
      <c r="E6" s="8"/>
      <c r="F6" s="8"/>
      <c r="U6" s="10"/>
      <c r="V6" s="10"/>
    </row>
    <row r="7" spans="1:22" ht="13">
      <c r="A7" s="2" t="s">
        <v>6</v>
      </c>
      <c r="B7" s="11"/>
      <c r="C7" s="3"/>
      <c r="D7" s="12"/>
      <c r="E7" s="8"/>
      <c r="F7" s="8"/>
      <c r="U7" s="13" t="s">
        <v>7</v>
      </c>
      <c r="V7" s="14"/>
    </row>
    <row r="8" spans="1:22" ht="13">
      <c r="A8" s="15"/>
      <c r="B8" s="11"/>
      <c r="C8" s="3"/>
      <c r="D8" s="12"/>
      <c r="E8" s="8"/>
      <c r="F8" s="8"/>
      <c r="U8" s="13">
        <v>45205</v>
      </c>
      <c r="V8" s="14"/>
    </row>
    <row r="9" spans="1:22" ht="15.5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6" ht="13">
      <c r="A10" s="3"/>
      <c r="B10" s="6"/>
      <c r="C10" s="6"/>
      <c r="D10" s="6"/>
      <c r="E10" s="17"/>
      <c r="F10" s="5"/>
    </row>
    <row r="11" spans="1:22" ht="13">
      <c r="A11" s="18" t="s">
        <v>9</v>
      </c>
      <c r="B11" s="18" t="s">
        <v>10</v>
      </c>
      <c r="C11" s="18" t="s">
        <v>11</v>
      </c>
      <c r="D11" s="19" t="s">
        <v>12</v>
      </c>
      <c r="E11" s="20" t="s">
        <v>13</v>
      </c>
      <c r="F11" s="20" t="s">
        <v>14</v>
      </c>
      <c r="G11" s="21" t="s">
        <v>15</v>
      </c>
      <c r="H11" s="22"/>
      <c r="I11" s="21" t="s">
        <v>15</v>
      </c>
      <c r="J11" s="22"/>
      <c r="K11" s="21" t="s">
        <v>15</v>
      </c>
      <c r="L11" s="22"/>
      <c r="M11" s="21" t="s">
        <v>15</v>
      </c>
      <c r="N11" s="22"/>
      <c r="O11" s="21" t="s">
        <v>15</v>
      </c>
      <c r="P11" s="22"/>
      <c r="Q11" s="21" t="s">
        <v>15</v>
      </c>
      <c r="R11" s="22"/>
      <c r="S11" s="21" t="s">
        <v>16</v>
      </c>
      <c r="T11" s="22"/>
      <c r="U11" s="21" t="s">
        <v>17</v>
      </c>
      <c r="V11" s="22"/>
    </row>
    <row r="12" spans="1:22" ht="13">
      <c r="A12" s="23"/>
      <c r="B12" s="23"/>
      <c r="C12" s="23"/>
      <c r="D12" s="24"/>
      <c r="E12" s="25"/>
      <c r="F12" s="25"/>
      <c r="G12" s="26" t="s">
        <v>18</v>
      </c>
      <c r="H12" s="27" t="s">
        <v>19</v>
      </c>
      <c r="I12" s="26" t="s">
        <v>18</v>
      </c>
      <c r="J12" s="27" t="s">
        <v>19</v>
      </c>
      <c r="K12" s="26" t="s">
        <v>18</v>
      </c>
      <c r="L12" s="27" t="s">
        <v>19</v>
      </c>
      <c r="M12" s="26" t="s">
        <v>18</v>
      </c>
      <c r="N12" s="27" t="s">
        <v>19</v>
      </c>
      <c r="O12" s="26" t="s">
        <v>18</v>
      </c>
      <c r="P12" s="27" t="s">
        <v>19</v>
      </c>
      <c r="Q12" s="26" t="s">
        <v>18</v>
      </c>
      <c r="R12" s="27" t="s">
        <v>19</v>
      </c>
      <c r="S12" s="26" t="s">
        <v>18</v>
      </c>
      <c r="T12" s="27" t="s">
        <v>19</v>
      </c>
      <c r="U12" s="26" t="s">
        <v>18</v>
      </c>
      <c r="V12" s="27" t="s">
        <v>19</v>
      </c>
    </row>
    <row r="13" spans="1:22" ht="13">
      <c r="A13" s="28" t="s">
        <v>20</v>
      </c>
      <c r="B13" s="29" t="s">
        <v>21</v>
      </c>
      <c r="C13" s="30"/>
      <c r="D13" s="31"/>
      <c r="E13" s="32"/>
      <c r="F13" s="32">
        <f>SUM(F14:F16)</f>
        <v>39674.28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26">
      <c r="A14" s="30" t="s">
        <v>22</v>
      </c>
      <c r="B14" s="34" t="s">
        <v>23</v>
      </c>
      <c r="C14" s="30" t="s">
        <v>24</v>
      </c>
      <c r="D14" s="31">
        <f>MEM.CÁLCULO!E13</f>
        <v>24</v>
      </c>
      <c r="E14" s="35">
        <v>1125.9000000000001</v>
      </c>
      <c r="F14" s="36">
        <f>D14*E14</f>
        <v>27021.60</v>
      </c>
      <c r="G14" s="37">
        <v>24</v>
      </c>
      <c r="H14" s="38">
        <f>G14*E14</f>
        <v>27021.60</v>
      </c>
      <c r="I14" s="37"/>
      <c r="J14" s="38">
        <f>I14*E14</f>
        <v>0</v>
      </c>
      <c r="K14" s="37"/>
      <c r="L14" s="38">
        <f>K14*E14</f>
        <v>0</v>
      </c>
      <c r="M14" s="37"/>
      <c r="N14" s="38">
        <f>M14*E14</f>
        <v>0</v>
      </c>
      <c r="O14" s="37"/>
      <c r="P14" s="38">
        <f>O14*E14</f>
        <v>0</v>
      </c>
      <c r="Q14" s="37"/>
      <c r="R14" s="38">
        <f>Q14*E14</f>
        <v>0</v>
      </c>
      <c r="S14" s="37">
        <f>G14+I14+K14+M14+O14+Q14</f>
        <v>24</v>
      </c>
      <c r="T14" s="38">
        <f>H14+J14+L14+N14+P14+R14</f>
        <v>27021.60</v>
      </c>
      <c r="U14" s="37">
        <f>D14-S14</f>
        <v>0</v>
      </c>
      <c r="V14" s="38">
        <f>F14-T14</f>
        <v>0</v>
      </c>
    </row>
    <row r="15" spans="1:22" ht="13">
      <c r="A15" s="30" t="s">
        <v>25</v>
      </c>
      <c r="B15" s="34" t="s">
        <v>26</v>
      </c>
      <c r="C15" s="30" t="s">
        <v>24</v>
      </c>
      <c r="D15" s="31">
        <f>MEM.CÁLCULO!F18</f>
        <v>12</v>
      </c>
      <c r="E15" s="35">
        <v>200.11</v>
      </c>
      <c r="F15" s="36">
        <f>D15*E15</f>
        <v>2401.3200000000002</v>
      </c>
      <c r="G15" s="37">
        <v>12</v>
      </c>
      <c r="H15" s="38">
        <f t="shared" si="0" ref="H15:H27">G15*E15</f>
        <v>2401.3200000000002</v>
      </c>
      <c r="I15" s="37"/>
      <c r="J15" s="38">
        <f t="shared" si="1" ref="J15:J27">I15*E15</f>
        <v>0</v>
      </c>
      <c r="K15" s="37"/>
      <c r="L15" s="38">
        <f t="shared" si="2" ref="L15:L27">K15*E15</f>
        <v>0</v>
      </c>
      <c r="M15" s="37"/>
      <c r="N15" s="38">
        <f t="shared" si="3" ref="N15:N27">M15*E15</f>
        <v>0</v>
      </c>
      <c r="O15" s="37"/>
      <c r="P15" s="38">
        <f t="shared" si="4" ref="P15:P27">O15*E15</f>
        <v>0</v>
      </c>
      <c r="Q15" s="37"/>
      <c r="R15" s="38">
        <f t="shared" si="5" ref="R15:R27">Q15*E15</f>
        <v>0</v>
      </c>
      <c r="S15" s="37">
        <f t="shared" si="6" ref="S15:S27">G15+I15+K15+M15+O15+Q15</f>
        <v>12</v>
      </c>
      <c r="T15" s="38">
        <f t="shared" si="7" ref="T15:T27">H15+J15+L15+N15+P15+R15</f>
        <v>2401.3200000000002</v>
      </c>
      <c r="U15" s="37">
        <f t="shared" si="8" ref="U15:U27">D15-S15</f>
        <v>0</v>
      </c>
      <c r="V15" s="38">
        <f t="shared" si="9" ref="V15:V27">F15-T15</f>
        <v>0</v>
      </c>
    </row>
    <row r="16" spans="1:22" ht="13">
      <c r="A16" s="30" t="s">
        <v>27</v>
      </c>
      <c r="B16" s="34" t="s">
        <v>28</v>
      </c>
      <c r="C16" s="30" t="s">
        <v>29</v>
      </c>
      <c r="D16" s="31">
        <f>MEM.CÁLCULO!C23</f>
        <v>16272</v>
      </c>
      <c r="E16" s="35">
        <v>0.63</v>
      </c>
      <c r="F16" s="36">
        <f>D16*E16</f>
        <v>10251.36</v>
      </c>
      <c r="G16" s="37">
        <v>326</v>
      </c>
      <c r="H16" s="38">
        <f t="shared" si="0"/>
        <v>205.38</v>
      </c>
      <c r="I16" s="37"/>
      <c r="J16" s="38">
        <f t="shared" si="1"/>
        <v>0</v>
      </c>
      <c r="K16" s="37"/>
      <c r="L16" s="38">
        <f t="shared" si="2"/>
        <v>0</v>
      </c>
      <c r="M16" s="37"/>
      <c r="N16" s="38">
        <f t="shared" si="3"/>
        <v>0</v>
      </c>
      <c r="O16" s="37"/>
      <c r="P16" s="38">
        <f t="shared" si="4"/>
        <v>0</v>
      </c>
      <c r="Q16" s="37"/>
      <c r="R16" s="38">
        <f t="shared" si="5"/>
        <v>0</v>
      </c>
      <c r="S16" s="37">
        <f t="shared" si="6"/>
        <v>326</v>
      </c>
      <c r="T16" s="38">
        <f t="shared" si="7"/>
        <v>205.38</v>
      </c>
      <c r="U16" s="37">
        <f t="shared" si="8"/>
        <v>15946</v>
      </c>
      <c r="V16" s="38">
        <f t="shared" si="9"/>
        <v>10045.98</v>
      </c>
    </row>
    <row r="17" spans="1:22" ht="13">
      <c r="A17" s="30"/>
      <c r="B17" s="34"/>
      <c r="C17" s="30"/>
      <c r="D17" s="31"/>
      <c r="E17" s="35"/>
      <c r="F17" s="36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</row>
    <row r="18" spans="1:22" ht="13">
      <c r="A18" s="28" t="s">
        <v>30</v>
      </c>
      <c r="B18" s="39" t="s">
        <v>31</v>
      </c>
      <c r="C18" s="28"/>
      <c r="D18" s="40"/>
      <c r="E18" s="41"/>
      <c r="F18" s="32">
        <f>SUM(F19:F20)</f>
        <v>118981.26</v>
      </c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</row>
    <row r="19" spans="1:22" ht="13">
      <c r="A19" s="30" t="s">
        <v>32</v>
      </c>
      <c r="B19" s="34" t="s">
        <v>33</v>
      </c>
      <c r="C19" s="30" t="s">
        <v>34</v>
      </c>
      <c r="D19" s="31">
        <f>MEM.CÁLCULO!C30</f>
        <v>1</v>
      </c>
      <c r="E19" s="35">
        <v>59490.63</v>
      </c>
      <c r="F19" s="36">
        <f>D19*E19</f>
        <v>59490.63</v>
      </c>
      <c r="G19" s="37">
        <v>1</v>
      </c>
      <c r="H19" s="38">
        <f t="shared" si="0"/>
        <v>59490.63</v>
      </c>
      <c r="I19" s="37"/>
      <c r="J19" s="38">
        <f t="shared" si="1"/>
        <v>0</v>
      </c>
      <c r="K19" s="37"/>
      <c r="L19" s="38">
        <f t="shared" si="2"/>
        <v>0</v>
      </c>
      <c r="M19" s="37"/>
      <c r="N19" s="38">
        <f t="shared" si="3"/>
        <v>0</v>
      </c>
      <c r="O19" s="37"/>
      <c r="P19" s="38">
        <f t="shared" si="4"/>
        <v>0</v>
      </c>
      <c r="Q19" s="37"/>
      <c r="R19" s="38">
        <f t="shared" si="5"/>
        <v>0</v>
      </c>
      <c r="S19" s="37">
        <f t="shared" si="6"/>
        <v>1</v>
      </c>
      <c r="T19" s="38">
        <f t="shared" si="7"/>
        <v>59490.63</v>
      </c>
      <c r="U19" s="37">
        <f t="shared" si="8"/>
        <v>0</v>
      </c>
      <c r="V19" s="38">
        <f t="shared" si="9"/>
        <v>0</v>
      </c>
    </row>
    <row r="20" spans="1:22" ht="13">
      <c r="A20" s="30" t="s">
        <v>35</v>
      </c>
      <c r="B20" s="34" t="s">
        <v>36</v>
      </c>
      <c r="C20" s="30" t="s">
        <v>34</v>
      </c>
      <c r="D20" s="31">
        <f>MEM.CÁLCULO!C35</f>
        <v>1</v>
      </c>
      <c r="E20" s="35">
        <v>59490.63</v>
      </c>
      <c r="F20" s="36">
        <f>D20*E20</f>
        <v>59490.63</v>
      </c>
      <c r="G20" s="37"/>
      <c r="H20" s="38">
        <f t="shared" si="0"/>
        <v>0</v>
      </c>
      <c r="I20" s="37"/>
      <c r="J20" s="38">
        <f t="shared" si="1"/>
        <v>0</v>
      </c>
      <c r="K20" s="37"/>
      <c r="L20" s="38">
        <f t="shared" si="2"/>
        <v>0</v>
      </c>
      <c r="M20" s="37"/>
      <c r="N20" s="38">
        <f t="shared" si="3"/>
        <v>0</v>
      </c>
      <c r="O20" s="37"/>
      <c r="P20" s="38">
        <f t="shared" si="4"/>
        <v>0</v>
      </c>
      <c r="Q20" s="37"/>
      <c r="R20" s="38">
        <f t="shared" si="5"/>
        <v>0</v>
      </c>
      <c r="S20" s="37">
        <f t="shared" si="6"/>
        <v>0</v>
      </c>
      <c r="T20" s="38">
        <f t="shared" si="7"/>
        <v>0</v>
      </c>
      <c r="U20" s="37">
        <f t="shared" si="8"/>
        <v>1</v>
      </c>
      <c r="V20" s="38">
        <f t="shared" si="9"/>
        <v>59490.63</v>
      </c>
    </row>
    <row r="21" spans="1:22" ht="13">
      <c r="A21" s="30"/>
      <c r="B21" s="34"/>
      <c r="C21" s="30"/>
      <c r="D21" s="31"/>
      <c r="E21" s="35"/>
      <c r="F21" s="36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</row>
    <row r="22" spans="1:22" ht="13">
      <c r="A22" s="28" t="s">
        <v>37</v>
      </c>
      <c r="B22" s="39" t="s">
        <v>38</v>
      </c>
      <c r="C22" s="30"/>
      <c r="D22" s="31"/>
      <c r="E22" s="32"/>
      <c r="F22" s="32">
        <f>SUM(F23)</f>
        <v>209348.82</v>
      </c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</row>
    <row r="23" spans="1:22" ht="13">
      <c r="A23" s="30" t="s">
        <v>39</v>
      </c>
      <c r="B23" s="34" t="s">
        <v>40</v>
      </c>
      <c r="C23" s="30" t="s">
        <v>34</v>
      </c>
      <c r="D23" s="31">
        <f>MEM.CÁLCULO!C42</f>
        <v>1</v>
      </c>
      <c r="E23" s="35">
        <v>209348.82</v>
      </c>
      <c r="F23" s="36">
        <f>D23*E23</f>
        <v>209348.82</v>
      </c>
      <c r="G23" s="37">
        <v>0.02</v>
      </c>
      <c r="H23" s="38">
        <f t="shared" si="0"/>
        <v>4186.9799999999996</v>
      </c>
      <c r="I23" s="37"/>
      <c r="J23" s="38">
        <f t="shared" si="1"/>
        <v>0</v>
      </c>
      <c r="K23" s="37"/>
      <c r="L23" s="38">
        <f t="shared" si="2"/>
        <v>0</v>
      </c>
      <c r="M23" s="37"/>
      <c r="N23" s="38">
        <f t="shared" si="3"/>
        <v>0</v>
      </c>
      <c r="O23" s="37"/>
      <c r="P23" s="38">
        <f t="shared" si="4"/>
        <v>0</v>
      </c>
      <c r="Q23" s="37"/>
      <c r="R23" s="38">
        <f t="shared" si="5"/>
        <v>0</v>
      </c>
      <c r="S23" s="37">
        <f t="shared" si="6"/>
        <v>0.02</v>
      </c>
      <c r="T23" s="38">
        <f t="shared" si="7"/>
        <v>4186.9799999999996</v>
      </c>
      <c r="U23" s="37">
        <f t="shared" si="8"/>
        <v>0.98</v>
      </c>
      <c r="V23" s="38">
        <f t="shared" si="9"/>
        <v>205161.84</v>
      </c>
    </row>
    <row r="24" spans="1:22" ht="13">
      <c r="A24" s="30"/>
      <c r="B24" s="34"/>
      <c r="C24" s="30"/>
      <c r="D24" s="31"/>
      <c r="E24" s="35"/>
      <c r="F24" s="36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</row>
    <row r="25" spans="1:22" ht="13">
      <c r="A25" s="28" t="s">
        <v>41</v>
      </c>
      <c r="B25" s="39" t="s">
        <v>42</v>
      </c>
      <c r="C25" s="30"/>
      <c r="D25" s="42"/>
      <c r="E25" s="32"/>
      <c r="F25" s="32">
        <f>SUM(F26:F27)</f>
        <v>14167240.449999999</v>
      </c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</row>
    <row r="26" spans="1:22" s="43" customFormat="1" ht="26">
      <c r="A26" s="44" t="s">
        <v>43</v>
      </c>
      <c r="B26" s="45" t="s">
        <v>44</v>
      </c>
      <c r="C26" s="44" t="s">
        <v>45</v>
      </c>
      <c r="D26" s="46">
        <f>MEM.CÁLCULO!F50</f>
        <v>9208.32</v>
      </c>
      <c r="E26" s="35">
        <v>1253.92</v>
      </c>
      <c r="F26" s="47">
        <f>D26*E26</f>
        <v>11546496.609999999</v>
      </c>
      <c r="G26" s="48">
        <v>167</v>
      </c>
      <c r="H26" s="38">
        <f t="shared" si="0"/>
        <v>209404.64</v>
      </c>
      <c r="I26" s="48"/>
      <c r="J26" s="38">
        <f t="shared" si="1"/>
        <v>0</v>
      </c>
      <c r="K26" s="48"/>
      <c r="L26" s="38">
        <f t="shared" si="2"/>
        <v>0</v>
      </c>
      <c r="M26" s="48"/>
      <c r="N26" s="38">
        <f t="shared" si="3"/>
        <v>0</v>
      </c>
      <c r="O26" s="48"/>
      <c r="P26" s="38">
        <f t="shared" si="4"/>
        <v>0</v>
      </c>
      <c r="Q26" s="48"/>
      <c r="R26" s="38">
        <f t="shared" si="5"/>
        <v>0</v>
      </c>
      <c r="S26" s="37">
        <f t="shared" si="6"/>
        <v>167</v>
      </c>
      <c r="T26" s="38">
        <f t="shared" si="7"/>
        <v>209404.64</v>
      </c>
      <c r="U26" s="37">
        <f t="shared" si="8"/>
        <v>9041.32</v>
      </c>
      <c r="V26" s="38">
        <f t="shared" si="9"/>
        <v>11337091.970000001</v>
      </c>
    </row>
    <row r="27" spans="1:22" s="43" customFormat="1" ht="13">
      <c r="A27" s="44" t="s">
        <v>46</v>
      </c>
      <c r="B27" s="49" t="s">
        <v>47</v>
      </c>
      <c r="C27" s="44" t="s">
        <v>29</v>
      </c>
      <c r="D27" s="46">
        <v>35244</v>
      </c>
      <c r="E27" s="35">
        <v>74.36</v>
      </c>
      <c r="F27" s="47">
        <f>E27*D27</f>
        <v>2620743.84</v>
      </c>
      <c r="G27" s="48">
        <v>640</v>
      </c>
      <c r="H27" s="38">
        <f t="shared" si="0"/>
        <v>47590.40</v>
      </c>
      <c r="I27" s="48"/>
      <c r="J27" s="38">
        <f t="shared" si="1"/>
        <v>0</v>
      </c>
      <c r="K27" s="48"/>
      <c r="L27" s="38">
        <f t="shared" si="2"/>
        <v>0</v>
      </c>
      <c r="M27" s="48"/>
      <c r="N27" s="38">
        <f t="shared" si="3"/>
        <v>0</v>
      </c>
      <c r="O27" s="48"/>
      <c r="P27" s="38">
        <f t="shared" si="4"/>
        <v>0</v>
      </c>
      <c r="Q27" s="48"/>
      <c r="R27" s="38">
        <f t="shared" si="5"/>
        <v>0</v>
      </c>
      <c r="S27" s="37">
        <f t="shared" si="6"/>
        <v>640</v>
      </c>
      <c r="T27" s="38">
        <f t="shared" si="7"/>
        <v>47590.40</v>
      </c>
      <c r="U27" s="37">
        <f t="shared" si="8"/>
        <v>34604</v>
      </c>
      <c r="V27" s="38">
        <f t="shared" si="9"/>
        <v>2573153.44</v>
      </c>
    </row>
    <row r="28" spans="1:22" s="43" customFormat="1" ht="13.5" thickBot="1">
      <c r="A28" s="44"/>
      <c r="B28" s="49"/>
      <c r="C28" s="44"/>
      <c r="D28" s="46"/>
      <c r="E28" s="35"/>
      <c r="F28" s="47"/>
      <c r="G28" s="48"/>
      <c r="H28" s="50"/>
      <c r="I28" s="48"/>
      <c r="J28" s="51"/>
      <c r="K28" s="48"/>
      <c r="L28" s="51"/>
      <c r="M28" s="48"/>
      <c r="N28" s="51"/>
      <c r="O28" s="48"/>
      <c r="P28" s="51"/>
      <c r="Q28" s="48"/>
      <c r="R28" s="51"/>
      <c r="S28" s="48"/>
      <c r="T28" s="51"/>
      <c r="U28" s="48"/>
      <c r="V28" s="51"/>
    </row>
    <row r="29" spans="1:22" ht="13.5" thickBot="1">
      <c r="A29" s="52"/>
      <c r="B29" s="52"/>
      <c r="C29" s="52"/>
      <c r="D29" s="52"/>
      <c r="E29" s="53" t="s">
        <v>48</v>
      </c>
      <c r="F29" s="32">
        <f>SUM(F13,F18,F22,F25)</f>
        <v>14535244.810000001</v>
      </c>
      <c r="G29" s="54"/>
      <c r="H29" s="55">
        <f>SUM(H14:H27)</f>
        <v>350300.95</v>
      </c>
      <c r="I29" s="54"/>
      <c r="J29" s="55">
        <f t="shared" si="10" ref="J29:V29">SUM(J14:J27)</f>
        <v>0</v>
      </c>
      <c r="K29" s="54"/>
      <c r="L29" s="55">
        <f t="shared" si="11" ref="L29:V29">SUM(L14:L27)</f>
        <v>0</v>
      </c>
      <c r="M29" s="54"/>
      <c r="N29" s="55">
        <f t="shared" si="12" ref="N29:V29">SUM(N14:N27)</f>
        <v>0</v>
      </c>
      <c r="O29" s="54"/>
      <c r="P29" s="55">
        <f t="shared" si="13" ref="P29:V29">SUM(P14:P27)</f>
        <v>0</v>
      </c>
      <c r="Q29" s="54"/>
      <c r="R29" s="55">
        <f t="shared" si="14" ref="R29:V29">SUM(R14:R27)</f>
        <v>0</v>
      </c>
      <c r="S29" s="54"/>
      <c r="T29" s="55">
        <f t="shared" si="15" ref="T29:V29">SUM(T14:T27)</f>
        <v>350300.95</v>
      </c>
      <c r="U29" s="54"/>
      <c r="V29" s="55">
        <f t="shared" si="16" ref="V29">SUM(V14:V27)</f>
        <v>14184943.859999999</v>
      </c>
    </row>
    <row r="30" spans="1:6" ht="13">
      <c r="A30" s="3"/>
      <c r="B30" s="56"/>
      <c r="C30" s="3"/>
      <c r="D30" s="4"/>
      <c r="E30" s="5"/>
      <c r="F30" s="5"/>
    </row>
    <row r="31" spans="1:22" ht="15.5" customHeight="1">
      <c r="A31" s="57" t="s">
        <v>49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8" ht="13">
      <c r="A32" s="3"/>
      <c r="C32" s="3"/>
      <c r="D32" s="4"/>
      <c r="E32" s="5"/>
      <c r="H32" s="58"/>
    </row>
    <row r="33" spans="1:5" ht="13">
      <c r="A33" s="3"/>
      <c r="C33" s="3"/>
      <c r="D33" s="4"/>
      <c r="E33" s="5"/>
    </row>
    <row r="34" spans="1:6" ht="13">
      <c r="A34" s="3"/>
      <c r="B34" s="56"/>
      <c r="C34" s="3"/>
      <c r="D34" s="4"/>
      <c r="E34" s="5"/>
      <c r="F34" s="5"/>
    </row>
    <row r="35" spans="19:22" ht="13">
      <c r="S35" s="59" t="s">
        <v>50</v>
      </c>
      <c r="T35" s="59"/>
      <c r="U35" s="59"/>
      <c r="V35" s="59"/>
    </row>
    <row r="36" spans="6:22" ht="13">
      <c r="F36" s="60"/>
      <c r="S36" s="59" t="s">
        <v>51</v>
      </c>
      <c r="T36" s="59"/>
      <c r="U36" s="59"/>
      <c r="V36" s="59"/>
    </row>
    <row r="37" spans="19:22" ht="13">
      <c r="S37" s="59" t="s">
        <v>52</v>
      </c>
      <c r="T37" s="59"/>
      <c r="U37" s="59"/>
      <c r="V37" s="59"/>
    </row>
    <row r="39" spans="6:6" ht="13">
      <c r="F39" s="5"/>
    </row>
    <row r="40" spans="6:6" ht="13">
      <c r="F40" s="56"/>
    </row>
  </sheetData>
  <mergeCells count="23">
    <mergeCell ref="A31:V31"/>
    <mergeCell ref="S35:V35"/>
    <mergeCell ref="S36:V36"/>
    <mergeCell ref="S37:V37"/>
    <mergeCell ref="U11:V11"/>
    <mergeCell ref="O11:P11"/>
    <mergeCell ref="Q11:R11"/>
    <mergeCell ref="A9:V9"/>
    <mergeCell ref="U2:V2"/>
    <mergeCell ref="U7:V7"/>
    <mergeCell ref="U8:V8"/>
    <mergeCell ref="U3:V6"/>
    <mergeCell ref="G11:H11"/>
    <mergeCell ref="I11:J11"/>
    <mergeCell ref="K11:L11"/>
    <mergeCell ref="M11:N11"/>
    <mergeCell ref="S11:T11"/>
    <mergeCell ref="A11:A12"/>
    <mergeCell ref="B11:B12"/>
    <mergeCell ref="C11:C12"/>
    <mergeCell ref="D11:D12"/>
    <mergeCell ref="E11:E12"/>
    <mergeCell ref="F11:F12"/>
  </mergeCells>
  <printOptions verticalCentered="1"/>
  <pageMargins left="0.7086614173228347" right="0.31496062992125984" top="0.1968503937007874" bottom="0.3937007874015748" header="0.31496062992125984" footer="0.31496062992125984"/>
  <pageSetup horizontalDpi="360" verticalDpi="360" orientation="landscape" paperSize="9" scale="75" r:id="rId2"/>
  <headerFooter>
    <oddFooter>&amp;CPágina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9ca7eab-6634-4f0f-8ed7-3f6695b80679}">
  <sheetPr>
    <pageSetUpPr fitToPage="1"/>
  </sheetPr>
  <dimension ref="A1:P131"/>
  <sheetViews>
    <sheetView showGridLines="0" view="pageBreakPreview" zoomScaleNormal="100" zoomScaleSheetLayoutView="100" workbookViewId="0" topLeftCell="B70">
      <selection pane="topLeft" activeCell="F108" sqref="F108"/>
    </sheetView>
  </sheetViews>
  <sheetFormatPr defaultColWidth="9.184285714285714" defaultRowHeight="13" customHeight="1"/>
  <cols>
    <col min="1" max="1" width="7.571428571428571" style="92" customWidth="1"/>
    <col min="2" max="2" width="9.857142857142858" style="92" bestFit="1" customWidth="1"/>
    <col min="3" max="3" width="65.57142857142857" style="92" bestFit="1" customWidth="1"/>
    <col min="4" max="4" width="4.142857142857143" style="92" bestFit="1" customWidth="1"/>
    <col min="5" max="5" width="11.428571428571429" style="92" bestFit="1" customWidth="1"/>
    <col min="6" max="6" width="10" style="92" bestFit="1" customWidth="1"/>
    <col min="7" max="7" width="13.571428571428571" style="92" bestFit="1" customWidth="1"/>
    <col min="8" max="8" width="9.142857142857142" style="92"/>
    <col min="9" max="9" width="13" style="92" bestFit="1" customWidth="1"/>
    <col min="10" max="10" width="12" style="92" bestFit="1" customWidth="1"/>
    <col min="11" max="11" width="12.428571428571429" style="92" bestFit="1" customWidth="1"/>
    <col min="12" max="12" width="13.857142857142858" style="92" bestFit="1" customWidth="1"/>
    <col min="13" max="13" width="10.571428571428571" style="92" bestFit="1" customWidth="1"/>
    <col min="14" max="14" width="15.714285714285714" style="92" bestFit="1" customWidth="1"/>
    <col min="15" max="15" width="15.285714285714286" style="92" bestFit="1" customWidth="1"/>
    <col min="16" max="16384" width="9.142857142857142" style="92"/>
  </cols>
  <sheetData>
    <row r="1" spans="1:7" ht="13">
      <c r="A1" s="63" t="str">
        <f>'BM (2)'!A1</f>
        <v>ESTADO DO PARÁ</v>
      </c>
      <c r="B1" s="63"/>
      <c r="C1" s="63"/>
      <c r="D1" s="63"/>
      <c r="E1" s="64"/>
      <c r="F1" s="64"/>
      <c r="G1" s="64"/>
    </row>
    <row r="2" spans="1:7" ht="13">
      <c r="A2" s="63" t="str">
        <f>'BM (2)'!A2</f>
        <v>PREFEITURA MUNICIPAL DE TERRA SANTA</v>
      </c>
      <c r="B2" s="63"/>
      <c r="C2" s="63"/>
      <c r="D2" s="63"/>
      <c r="E2" s="64"/>
      <c r="F2" s="64"/>
      <c r="G2" s="64"/>
    </row>
    <row r="3" spans="1:7" ht="13">
      <c r="A3" s="63" t="str">
        <f>'BM (2)'!A3</f>
        <v>OBRA: PAVIMENTAÇÃO EM CONCRETO DE VIAS URBANAS DO MUNICÍPIO DE TERRA SANTA</v>
      </c>
      <c r="B3" s="2"/>
      <c r="C3" s="2"/>
      <c r="D3" s="2"/>
      <c r="E3" s="2"/>
      <c r="F3" s="2"/>
      <c r="G3" s="7"/>
    </row>
    <row r="4" spans="1:7" ht="13">
      <c r="A4" s="2" t="str">
        <f>'BM (2)'!A6</f>
        <v>LICITAÇÃO: CONCORRÊNCIA 01/2023</v>
      </c>
      <c r="B4" s="2"/>
      <c r="C4" s="2"/>
      <c r="D4" s="2"/>
      <c r="E4" s="2"/>
      <c r="F4" s="2"/>
      <c r="G4" s="65"/>
    </row>
    <row r="5" spans="1:7" ht="13">
      <c r="A5" s="2"/>
      <c r="B5" s="2"/>
      <c r="C5" s="2"/>
      <c r="D5" s="2"/>
      <c r="E5" s="2"/>
      <c r="F5" s="2"/>
      <c r="G5" s="65"/>
    </row>
    <row r="6" spans="1:7" ht="13">
      <c r="A6" s="66" t="s">
        <v>53</v>
      </c>
      <c r="B6" s="66"/>
      <c r="C6" s="66"/>
      <c r="D6" s="66"/>
      <c r="E6" s="66"/>
      <c r="F6" s="66"/>
      <c r="G6" s="66"/>
    </row>
    <row r="7" spans="1:10" ht="13">
      <c r="A7" s="66"/>
      <c r="B7" s="66"/>
      <c r="C7" s="66"/>
      <c r="D7" s="66"/>
      <c r="E7" s="66"/>
      <c r="F7" s="66"/>
      <c r="G7" s="66"/>
      <c r="I7" s="67"/>
      <c r="J7" s="67"/>
    </row>
    <row r="8" spans="1:10" ht="13">
      <c r="A8" s="28" t="str">
        <f>'BM (2)'!A13</f>
        <v>1.0</v>
      </c>
      <c r="B8" s="29" t="str">
        <f>'BM (2)'!B13</f>
        <v>SERVIÇOS PRELIMINARES</v>
      </c>
      <c r="C8" s="29"/>
      <c r="D8" s="29"/>
      <c r="E8" s="29"/>
      <c r="F8" s="29"/>
      <c r="G8" s="29"/>
      <c r="I8" s="67"/>
      <c r="J8" s="67"/>
    </row>
    <row r="9" spans="1:10" ht="13">
      <c r="A9" s="66"/>
      <c r="B9" s="66"/>
      <c r="C9" s="66"/>
      <c r="D9" s="66"/>
      <c r="E9" s="66"/>
      <c r="F9" s="66"/>
      <c r="G9" s="66"/>
      <c r="I9" s="67"/>
      <c r="J9" s="67"/>
    </row>
    <row r="10" spans="1:10" ht="26">
      <c r="A10" s="28" t="e">
        <f>#REF!</f>
        <v>#REF!</v>
      </c>
      <c r="B10" s="28" t="str">
        <f>'BM (2)'!A14</f>
        <v>1.1</v>
      </c>
      <c r="C10" s="68" t="str">
        <f>'BM (2)'!B14</f>
        <v>EXECUÇÃO DE ALMOXARIFADO EM CANTEIRO DE OBRA EM CHAPA DE MADEIRA COMPENSADA, INCLUSO PRATELEIRAS</v>
      </c>
      <c r="D10" s="69" t="str">
        <f>'BM (2)'!C14</f>
        <v>m²</v>
      </c>
      <c r="E10" s="28"/>
      <c r="F10" s="28"/>
      <c r="G10" s="28"/>
      <c r="I10" s="67"/>
      <c r="J10" s="67"/>
    </row>
    <row r="11" spans="1:10" ht="13">
      <c r="A11" s="28" t="s">
        <v>54</v>
      </c>
      <c r="B11" s="28" t="s">
        <v>55</v>
      </c>
      <c r="C11" s="28" t="s">
        <v>10</v>
      </c>
      <c r="D11" s="28" t="s">
        <v>11</v>
      </c>
      <c r="E11" s="28" t="s">
        <v>56</v>
      </c>
      <c r="F11" s="69" t="s">
        <v>57</v>
      </c>
      <c r="G11" s="70" t="s">
        <v>14</v>
      </c>
      <c r="I11" s="67"/>
      <c r="J11" s="67"/>
    </row>
    <row r="12" spans="1:10" ht="13">
      <c r="A12" s="30" t="s">
        <v>58</v>
      </c>
      <c r="B12" s="71" t="s">
        <v>59</v>
      </c>
      <c r="C12" s="72" t="s">
        <v>60</v>
      </c>
      <c r="D12" s="73" t="s">
        <v>61</v>
      </c>
      <c r="E12" s="74">
        <v>0.97940000000000005</v>
      </c>
      <c r="F12" s="75">
        <v>26.05</v>
      </c>
      <c r="G12" s="75">
        <f>F12*E12</f>
        <v>25.51</v>
      </c>
      <c r="I12" s="67"/>
      <c r="J12" s="67"/>
    </row>
    <row r="13" spans="1:10" ht="26">
      <c r="A13" s="30" t="s">
        <v>58</v>
      </c>
      <c r="B13" s="71" t="s">
        <v>62</v>
      </c>
      <c r="C13" s="72" t="s">
        <v>63</v>
      </c>
      <c r="D13" s="73" t="s">
        <v>24</v>
      </c>
      <c r="E13" s="74">
        <v>3.7454999999999998</v>
      </c>
      <c r="F13" s="75">
        <v>16.41</v>
      </c>
      <c r="G13" s="75">
        <f t="shared" si="0" ref="G13:G53">F13*E13</f>
        <v>61.46</v>
      </c>
      <c r="I13" s="67"/>
      <c r="J13" s="67"/>
    </row>
    <row r="14" spans="1:10" ht="52">
      <c r="A14" s="30" t="s">
        <v>58</v>
      </c>
      <c r="B14" s="71" t="s">
        <v>64</v>
      </c>
      <c r="C14" s="72" t="s">
        <v>65</v>
      </c>
      <c r="D14" s="73" t="s">
        <v>66</v>
      </c>
      <c r="E14" s="74">
        <v>0.2515</v>
      </c>
      <c r="F14" s="75">
        <v>3</v>
      </c>
      <c r="G14" s="75">
        <f t="shared" si="0"/>
        <v>0.75</v>
      </c>
      <c r="I14" s="67"/>
      <c r="J14" s="67"/>
    </row>
    <row r="15" spans="1:10" ht="39">
      <c r="A15" s="30" t="s">
        <v>58</v>
      </c>
      <c r="B15" s="71" t="s">
        <v>67</v>
      </c>
      <c r="C15" s="72" t="s">
        <v>68</v>
      </c>
      <c r="D15" s="73" t="s">
        <v>66</v>
      </c>
      <c r="E15" s="74">
        <v>0.2266</v>
      </c>
      <c r="F15" s="75">
        <v>1.51</v>
      </c>
      <c r="G15" s="75">
        <f t="shared" si="0"/>
        <v>0.34</v>
      </c>
      <c r="I15" s="67"/>
      <c r="J15" s="67"/>
    </row>
    <row r="16" spans="1:10" ht="26">
      <c r="A16" s="30" t="s">
        <v>58</v>
      </c>
      <c r="B16" s="71" t="s">
        <v>69</v>
      </c>
      <c r="C16" s="72" t="s">
        <v>70</v>
      </c>
      <c r="D16" s="73" t="s">
        <v>24</v>
      </c>
      <c r="E16" s="74">
        <v>0.063399999999999998</v>
      </c>
      <c r="F16" s="75">
        <v>462.52</v>
      </c>
      <c r="G16" s="75">
        <f t="shared" si="0"/>
        <v>29.32</v>
      </c>
      <c r="I16" s="67"/>
      <c r="J16" s="67"/>
    </row>
    <row r="17" spans="1:10" ht="26">
      <c r="A17" s="30" t="s">
        <v>58</v>
      </c>
      <c r="B17" s="71" t="s">
        <v>71</v>
      </c>
      <c r="C17" s="72" t="s">
        <v>72</v>
      </c>
      <c r="D17" s="73" t="s">
        <v>66</v>
      </c>
      <c r="E17" s="74">
        <v>0.25180000000000002</v>
      </c>
      <c r="F17" s="75">
        <v>10.18</v>
      </c>
      <c r="G17" s="75">
        <f t="shared" si="0"/>
        <v>2.56</v>
      </c>
      <c r="I17" s="67"/>
      <c r="J17" s="67"/>
    </row>
    <row r="18" spans="1:10" ht="26">
      <c r="A18" s="30" t="s">
        <v>58</v>
      </c>
      <c r="B18" s="71" t="s">
        <v>73</v>
      </c>
      <c r="C18" s="72" t="s">
        <v>74</v>
      </c>
      <c r="D18" s="73" t="s">
        <v>66</v>
      </c>
      <c r="E18" s="74">
        <v>0.2266</v>
      </c>
      <c r="F18" s="75">
        <v>11.40</v>
      </c>
      <c r="G18" s="75">
        <f t="shared" si="0"/>
        <v>2.58</v>
      </c>
      <c r="I18" s="67"/>
      <c r="J18" s="67"/>
    </row>
    <row r="19" spans="1:10" ht="39">
      <c r="A19" s="30" t="s">
        <v>58</v>
      </c>
      <c r="B19" s="71" t="s">
        <v>75</v>
      </c>
      <c r="C19" s="72" t="s">
        <v>76</v>
      </c>
      <c r="D19" s="73" t="s">
        <v>77</v>
      </c>
      <c r="E19" s="74">
        <v>0.075499999999999998</v>
      </c>
      <c r="F19" s="75">
        <v>13.44</v>
      </c>
      <c r="G19" s="75">
        <f t="shared" si="0"/>
        <v>1.01</v>
      </c>
      <c r="I19" s="67"/>
      <c r="J19" s="67"/>
    </row>
    <row r="20" spans="1:10" ht="26">
      <c r="A20" s="30" t="s">
        <v>58</v>
      </c>
      <c r="B20" s="71" t="s">
        <v>78</v>
      </c>
      <c r="C20" s="72" t="s">
        <v>79</v>
      </c>
      <c r="D20" s="73" t="s">
        <v>66</v>
      </c>
      <c r="E20" s="74">
        <v>0.62190000000000001</v>
      </c>
      <c r="F20" s="75">
        <v>2.95</v>
      </c>
      <c r="G20" s="75">
        <f t="shared" si="0"/>
        <v>1.83</v>
      </c>
      <c r="I20" s="67"/>
      <c r="J20" s="67"/>
    </row>
    <row r="21" spans="1:10" ht="26">
      <c r="A21" s="30" t="s">
        <v>58</v>
      </c>
      <c r="B21" s="71" t="s">
        <v>80</v>
      </c>
      <c r="C21" s="72" t="s">
        <v>81</v>
      </c>
      <c r="D21" s="73" t="s">
        <v>66</v>
      </c>
      <c r="E21" s="74">
        <v>0.67800000000000005</v>
      </c>
      <c r="F21" s="75">
        <v>4.25</v>
      </c>
      <c r="G21" s="75">
        <f t="shared" si="0"/>
        <v>2.88</v>
      </c>
      <c r="I21" s="67"/>
      <c r="J21" s="67"/>
    </row>
    <row r="22" spans="1:10" ht="26">
      <c r="A22" s="30" t="s">
        <v>58</v>
      </c>
      <c r="B22" s="71" t="s">
        <v>82</v>
      </c>
      <c r="C22" s="72" t="s">
        <v>83</v>
      </c>
      <c r="D22" s="73" t="s">
        <v>77</v>
      </c>
      <c r="E22" s="74">
        <v>0.125</v>
      </c>
      <c r="F22" s="75">
        <v>11.65</v>
      </c>
      <c r="G22" s="75">
        <f t="shared" si="0"/>
        <v>1.46</v>
      </c>
      <c r="I22" s="67"/>
      <c r="J22" s="67"/>
    </row>
    <row r="23" spans="1:10" ht="26">
      <c r="A23" s="30" t="s">
        <v>58</v>
      </c>
      <c r="B23" s="71" t="s">
        <v>84</v>
      </c>
      <c r="C23" s="72" t="s">
        <v>85</v>
      </c>
      <c r="D23" s="73" t="s">
        <v>77</v>
      </c>
      <c r="E23" s="74">
        <v>0.05</v>
      </c>
      <c r="F23" s="75">
        <v>26.95</v>
      </c>
      <c r="G23" s="75">
        <f t="shared" si="0"/>
        <v>1.35</v>
      </c>
      <c r="I23" s="67"/>
      <c r="J23" s="67"/>
    </row>
    <row r="24" spans="1:10" ht="26">
      <c r="A24" s="30" t="s">
        <v>58</v>
      </c>
      <c r="B24" s="71" t="s">
        <v>86</v>
      </c>
      <c r="C24" s="72" t="s">
        <v>87</v>
      </c>
      <c r="D24" s="73" t="s">
        <v>77</v>
      </c>
      <c r="E24" s="74">
        <v>0.0252</v>
      </c>
      <c r="F24" s="75">
        <v>65.180000000000007</v>
      </c>
      <c r="G24" s="75">
        <f t="shared" si="0"/>
        <v>1.64</v>
      </c>
      <c r="I24" s="67"/>
      <c r="J24" s="67"/>
    </row>
    <row r="25" spans="1:10" ht="39">
      <c r="A25" s="30" t="s">
        <v>58</v>
      </c>
      <c r="B25" s="71" t="s">
        <v>88</v>
      </c>
      <c r="C25" s="72" t="s">
        <v>89</v>
      </c>
      <c r="D25" s="73" t="s">
        <v>24</v>
      </c>
      <c r="E25" s="74">
        <v>1.4390000000000001</v>
      </c>
      <c r="F25" s="75">
        <v>17.72</v>
      </c>
      <c r="G25" s="75">
        <f t="shared" si="0"/>
        <v>25.50</v>
      </c>
      <c r="I25" s="67"/>
      <c r="J25" s="67"/>
    </row>
    <row r="26" spans="1:10" ht="26">
      <c r="A26" s="30" t="s">
        <v>58</v>
      </c>
      <c r="B26" s="71" t="s">
        <v>90</v>
      </c>
      <c r="C26" s="72" t="s">
        <v>91</v>
      </c>
      <c r="D26" s="73" t="s">
        <v>45</v>
      </c>
      <c r="E26" s="74">
        <v>0.026200000000000001</v>
      </c>
      <c r="F26" s="75">
        <v>82.95</v>
      </c>
      <c r="G26" s="75">
        <f t="shared" si="0"/>
        <v>2.17</v>
      </c>
      <c r="I26" s="67"/>
      <c r="J26" s="67"/>
    </row>
    <row r="27" spans="1:10" ht="39">
      <c r="A27" s="30" t="s">
        <v>58</v>
      </c>
      <c r="B27" s="71" t="s">
        <v>92</v>
      </c>
      <c r="C27" s="72" t="s">
        <v>93</v>
      </c>
      <c r="D27" s="73" t="s">
        <v>24</v>
      </c>
      <c r="E27" s="74">
        <v>1.4396</v>
      </c>
      <c r="F27" s="75">
        <v>77.55</v>
      </c>
      <c r="G27" s="75">
        <f t="shared" si="0"/>
        <v>111.64</v>
      </c>
      <c r="I27" s="67"/>
      <c r="J27" s="67"/>
    </row>
    <row r="28" spans="1:10" ht="39">
      <c r="A28" s="30" t="s">
        <v>58</v>
      </c>
      <c r="B28" s="71" t="s">
        <v>94</v>
      </c>
      <c r="C28" s="72" t="s">
        <v>95</v>
      </c>
      <c r="D28" s="73" t="s">
        <v>24</v>
      </c>
      <c r="E28" s="74">
        <v>0.075499999999999998</v>
      </c>
      <c r="F28" s="75">
        <v>822.02</v>
      </c>
      <c r="G28" s="75">
        <f t="shared" si="0"/>
        <v>62.06</v>
      </c>
      <c r="I28" s="67"/>
      <c r="J28" s="67"/>
    </row>
    <row r="29" spans="1:10" ht="26">
      <c r="A29" s="30" t="s">
        <v>58</v>
      </c>
      <c r="B29" s="71" t="s">
        <v>96</v>
      </c>
      <c r="C29" s="72" t="s">
        <v>97</v>
      </c>
      <c r="D29" s="73" t="s">
        <v>24</v>
      </c>
      <c r="E29" s="74">
        <v>0.0060000000000000001</v>
      </c>
      <c r="F29" s="75">
        <v>21.74</v>
      </c>
      <c r="G29" s="75">
        <f t="shared" si="0"/>
        <v>0.13</v>
      </c>
      <c r="I29" s="67"/>
      <c r="J29" s="67"/>
    </row>
    <row r="30" spans="1:10" ht="26">
      <c r="A30" s="30" t="s">
        <v>58</v>
      </c>
      <c r="B30" s="71" t="s">
        <v>98</v>
      </c>
      <c r="C30" s="72" t="s">
        <v>99</v>
      </c>
      <c r="D30" s="73" t="s">
        <v>24</v>
      </c>
      <c r="E30" s="74">
        <v>1.4395</v>
      </c>
      <c r="F30" s="75">
        <v>36.25</v>
      </c>
      <c r="G30" s="75">
        <f t="shared" si="0"/>
        <v>52.18</v>
      </c>
      <c r="I30" s="67"/>
      <c r="J30" s="67"/>
    </row>
    <row r="31" spans="1:10" ht="26">
      <c r="A31" s="30" t="s">
        <v>58</v>
      </c>
      <c r="B31" s="71" t="s">
        <v>100</v>
      </c>
      <c r="C31" s="72" t="s">
        <v>101</v>
      </c>
      <c r="D31" s="73" t="s">
        <v>77</v>
      </c>
      <c r="E31" s="74">
        <v>0.05</v>
      </c>
      <c r="F31" s="75">
        <v>23.53</v>
      </c>
      <c r="G31" s="75">
        <f t="shared" si="0"/>
        <v>1.18</v>
      </c>
      <c r="I31" s="67"/>
      <c r="J31" s="67"/>
    </row>
    <row r="32" spans="1:10" ht="26">
      <c r="A32" s="30" t="s">
        <v>58</v>
      </c>
      <c r="B32" s="71" t="s">
        <v>102</v>
      </c>
      <c r="C32" s="72" t="s">
        <v>103</v>
      </c>
      <c r="D32" s="73" t="s">
        <v>77</v>
      </c>
      <c r="E32" s="74">
        <v>0.024500000000000001</v>
      </c>
      <c r="F32" s="75">
        <v>19.829999999999998</v>
      </c>
      <c r="G32" s="75">
        <f t="shared" si="0"/>
        <v>0.49</v>
      </c>
      <c r="I32" s="67"/>
      <c r="J32" s="67"/>
    </row>
    <row r="33" spans="1:10" ht="13">
      <c r="A33" s="30" t="s">
        <v>58</v>
      </c>
      <c r="B33" s="71" t="s">
        <v>104</v>
      </c>
      <c r="C33" s="72" t="s">
        <v>105</v>
      </c>
      <c r="D33" s="73" t="s">
        <v>45</v>
      </c>
      <c r="E33" s="74">
        <v>0.0064999999999999997</v>
      </c>
      <c r="F33" s="75">
        <v>50.29</v>
      </c>
      <c r="G33" s="75">
        <f t="shared" si="0"/>
        <v>0.33</v>
      </c>
      <c r="I33" s="67"/>
      <c r="J33" s="67"/>
    </row>
    <row r="34" spans="1:10" ht="39">
      <c r="A34" s="30" t="s">
        <v>58</v>
      </c>
      <c r="B34" s="71" t="s">
        <v>106</v>
      </c>
      <c r="C34" s="72" t="s">
        <v>107</v>
      </c>
      <c r="D34" s="73" t="s">
        <v>77</v>
      </c>
      <c r="E34" s="74">
        <v>0.10065</v>
      </c>
      <c r="F34" s="75">
        <v>166.60</v>
      </c>
      <c r="G34" s="75">
        <f t="shared" si="0"/>
        <v>16.77</v>
      </c>
      <c r="I34" s="67"/>
      <c r="J34" s="67"/>
    </row>
    <row r="35" spans="1:10" ht="26">
      <c r="A35" s="30" t="s">
        <v>58</v>
      </c>
      <c r="B35" s="71" t="s">
        <v>108</v>
      </c>
      <c r="C35" s="72" t="s">
        <v>109</v>
      </c>
      <c r="D35" s="73" t="s">
        <v>77</v>
      </c>
      <c r="E35" s="74">
        <v>0.0252</v>
      </c>
      <c r="F35" s="75">
        <v>152.12</v>
      </c>
      <c r="G35" s="75">
        <f t="shared" si="0"/>
        <v>3.83</v>
      </c>
      <c r="I35" s="67"/>
      <c r="J35" s="67"/>
    </row>
    <row r="36" spans="1:10" ht="26">
      <c r="A36" s="30" t="s">
        <v>58</v>
      </c>
      <c r="B36" s="71" t="s">
        <v>110</v>
      </c>
      <c r="C36" s="72" t="s">
        <v>111</v>
      </c>
      <c r="D36" s="73" t="s">
        <v>77</v>
      </c>
      <c r="E36" s="74">
        <v>0.025000000000000001</v>
      </c>
      <c r="F36" s="75">
        <v>24.94</v>
      </c>
      <c r="G36" s="75">
        <f t="shared" si="0"/>
        <v>0.62</v>
      </c>
      <c r="I36" s="67"/>
      <c r="J36" s="67"/>
    </row>
    <row r="37" spans="1:10" ht="39">
      <c r="A37" s="30" t="s">
        <v>58</v>
      </c>
      <c r="B37" s="71" t="s">
        <v>112</v>
      </c>
      <c r="C37" s="72" t="s">
        <v>113</v>
      </c>
      <c r="D37" s="73" t="s">
        <v>24</v>
      </c>
      <c r="E37" s="74">
        <v>0.35165000000000002</v>
      </c>
      <c r="F37" s="75">
        <v>125.41</v>
      </c>
      <c r="G37" s="75">
        <f t="shared" si="0"/>
        <v>44.10</v>
      </c>
      <c r="I37" s="67"/>
      <c r="J37" s="67"/>
    </row>
    <row r="38" spans="1:10" ht="26">
      <c r="A38" s="30" t="s">
        <v>58</v>
      </c>
      <c r="B38" s="71" t="s">
        <v>114</v>
      </c>
      <c r="C38" s="72" t="s">
        <v>115</v>
      </c>
      <c r="D38" s="73" t="s">
        <v>24</v>
      </c>
      <c r="E38" s="74">
        <v>0.40475</v>
      </c>
      <c r="F38" s="75">
        <v>128.63</v>
      </c>
      <c r="G38" s="75">
        <f t="shared" si="0"/>
        <v>52.06</v>
      </c>
      <c r="I38" s="67"/>
      <c r="J38" s="67"/>
    </row>
    <row r="39" spans="1:10" ht="39">
      <c r="A39" s="30" t="s">
        <v>58</v>
      </c>
      <c r="B39" s="71" t="s">
        <v>116</v>
      </c>
      <c r="C39" s="72" t="s">
        <v>117</v>
      </c>
      <c r="D39" s="73" t="s">
        <v>24</v>
      </c>
      <c r="E39" s="74">
        <v>0.028000000000000001</v>
      </c>
      <c r="F39" s="75">
        <v>108.47</v>
      </c>
      <c r="G39" s="75">
        <f t="shared" si="0"/>
        <v>3.04</v>
      </c>
      <c r="I39" s="67"/>
      <c r="J39" s="67"/>
    </row>
    <row r="40" spans="1:10" ht="26">
      <c r="A40" s="30" t="s">
        <v>58</v>
      </c>
      <c r="B40" s="71" t="s">
        <v>118</v>
      </c>
      <c r="C40" s="72" t="s">
        <v>119</v>
      </c>
      <c r="D40" s="73" t="s">
        <v>24</v>
      </c>
      <c r="E40" s="74">
        <v>0.032250000000000001</v>
      </c>
      <c r="F40" s="75">
        <v>110.76</v>
      </c>
      <c r="G40" s="75">
        <f t="shared" si="0"/>
        <v>3.57</v>
      </c>
      <c r="I40" s="67"/>
      <c r="J40" s="67"/>
    </row>
    <row r="41" spans="1:10" ht="39">
      <c r="A41" s="30" t="s">
        <v>58</v>
      </c>
      <c r="B41" s="71" t="s">
        <v>120</v>
      </c>
      <c r="C41" s="72" t="s">
        <v>121</v>
      </c>
      <c r="D41" s="73" t="s">
        <v>24</v>
      </c>
      <c r="E41" s="74">
        <v>0.54944999999999999</v>
      </c>
      <c r="F41" s="75">
        <v>150.47999999999999</v>
      </c>
      <c r="G41" s="75">
        <f t="shared" si="0"/>
        <v>82.68</v>
      </c>
      <c r="I41" s="67"/>
      <c r="J41" s="67"/>
    </row>
    <row r="42" spans="1:10" ht="26">
      <c r="A42" s="30" t="s">
        <v>58</v>
      </c>
      <c r="B42" s="71" t="s">
        <v>122</v>
      </c>
      <c r="C42" s="72" t="s">
        <v>123</v>
      </c>
      <c r="D42" s="73" t="s">
        <v>24</v>
      </c>
      <c r="E42" s="74">
        <v>0.4284</v>
      </c>
      <c r="F42" s="75">
        <v>193.63</v>
      </c>
      <c r="G42" s="75">
        <f t="shared" si="0"/>
        <v>82.95</v>
      </c>
      <c r="I42" s="67"/>
      <c r="J42" s="67"/>
    </row>
    <row r="43" spans="1:10" ht="39">
      <c r="A43" s="30" t="s">
        <v>58</v>
      </c>
      <c r="B43" s="71" t="s">
        <v>124</v>
      </c>
      <c r="C43" s="72" t="s">
        <v>125</v>
      </c>
      <c r="D43" s="73" t="s">
        <v>24</v>
      </c>
      <c r="E43" s="74">
        <v>0.043900000000000002</v>
      </c>
      <c r="F43" s="75">
        <v>126.99</v>
      </c>
      <c r="G43" s="75">
        <f t="shared" si="0"/>
        <v>5.57</v>
      </c>
      <c r="I43" s="67"/>
      <c r="J43" s="67"/>
    </row>
    <row r="44" spans="1:10" ht="26">
      <c r="A44" s="30" t="s">
        <v>58</v>
      </c>
      <c r="B44" s="71" t="s">
        <v>126</v>
      </c>
      <c r="C44" s="72" t="s">
        <v>127</v>
      </c>
      <c r="D44" s="73" t="s">
        <v>24</v>
      </c>
      <c r="E44" s="74">
        <v>0.03415</v>
      </c>
      <c r="F44" s="75">
        <v>159.88</v>
      </c>
      <c r="G44" s="75">
        <f t="shared" si="0"/>
        <v>5.46</v>
      </c>
      <c r="I44" s="67"/>
      <c r="J44" s="67"/>
    </row>
    <row r="45" spans="1:10" ht="39">
      <c r="A45" s="30" t="s">
        <v>58</v>
      </c>
      <c r="B45" s="71" t="s">
        <v>128</v>
      </c>
      <c r="C45" s="72" t="s">
        <v>129</v>
      </c>
      <c r="D45" s="73" t="s">
        <v>45</v>
      </c>
      <c r="E45" s="74">
        <v>0.0269</v>
      </c>
      <c r="F45" s="75">
        <v>971.52</v>
      </c>
      <c r="G45" s="75">
        <f t="shared" si="0"/>
        <v>26.13</v>
      </c>
      <c r="I45" s="67"/>
      <c r="J45" s="67"/>
    </row>
    <row r="46" spans="1:10" ht="26">
      <c r="A46" s="30" t="s">
        <v>58</v>
      </c>
      <c r="B46" s="71" t="s">
        <v>130</v>
      </c>
      <c r="C46" s="72" t="s">
        <v>131</v>
      </c>
      <c r="D46" s="73" t="s">
        <v>77</v>
      </c>
      <c r="E46" s="74">
        <v>0.0252</v>
      </c>
      <c r="F46" s="75">
        <v>75.52</v>
      </c>
      <c r="G46" s="75">
        <f t="shared" si="0"/>
        <v>1.90</v>
      </c>
      <c r="I46" s="67"/>
      <c r="J46" s="67"/>
    </row>
    <row r="47" spans="1:10" ht="26">
      <c r="A47" s="30" t="s">
        <v>58</v>
      </c>
      <c r="B47" s="71" t="s">
        <v>132</v>
      </c>
      <c r="C47" s="72" t="s">
        <v>133</v>
      </c>
      <c r="D47" s="73" t="s">
        <v>77</v>
      </c>
      <c r="E47" s="74">
        <v>0.0504</v>
      </c>
      <c r="F47" s="75">
        <v>26.83</v>
      </c>
      <c r="G47" s="75">
        <f t="shared" si="0"/>
        <v>1.35</v>
      </c>
      <c r="I47" s="67"/>
      <c r="J47" s="67"/>
    </row>
    <row r="48" spans="1:10" ht="13">
      <c r="A48" s="30" t="s">
        <v>58</v>
      </c>
      <c r="B48" s="71" t="s">
        <v>134</v>
      </c>
      <c r="C48" s="72" t="s">
        <v>135</v>
      </c>
      <c r="D48" s="73" t="s">
        <v>66</v>
      </c>
      <c r="E48" s="74">
        <v>3.4843999999999999</v>
      </c>
      <c r="F48" s="75">
        <v>7.48</v>
      </c>
      <c r="G48" s="75">
        <f t="shared" si="0"/>
        <v>26.06</v>
      </c>
      <c r="I48" s="67"/>
      <c r="J48" s="67"/>
    </row>
    <row r="49" spans="1:10" ht="26">
      <c r="A49" s="30" t="s">
        <v>58</v>
      </c>
      <c r="B49" s="71" t="s">
        <v>136</v>
      </c>
      <c r="C49" s="72" t="s">
        <v>137</v>
      </c>
      <c r="D49" s="73" t="s">
        <v>66</v>
      </c>
      <c r="E49" s="74">
        <v>3.9173</v>
      </c>
      <c r="F49" s="75">
        <v>13</v>
      </c>
      <c r="G49" s="75">
        <f t="shared" si="0"/>
        <v>50.92</v>
      </c>
      <c r="I49" s="67"/>
      <c r="J49" s="67"/>
    </row>
    <row r="50" spans="1:10" ht="26">
      <c r="A50" s="30" t="s">
        <v>58</v>
      </c>
      <c r="B50" s="71" t="s">
        <v>138</v>
      </c>
      <c r="C50" s="72" t="s">
        <v>139</v>
      </c>
      <c r="D50" s="73" t="s">
        <v>77</v>
      </c>
      <c r="E50" s="74">
        <v>0.025149999999999999</v>
      </c>
      <c r="F50" s="75">
        <v>194.68</v>
      </c>
      <c r="G50" s="75">
        <f t="shared" si="0"/>
        <v>4.9000000000000004</v>
      </c>
      <c r="I50" s="67"/>
      <c r="J50" s="67"/>
    </row>
    <row r="51" spans="1:10" ht="26">
      <c r="A51" s="30" t="s">
        <v>58</v>
      </c>
      <c r="B51" s="71" t="s">
        <v>140</v>
      </c>
      <c r="C51" s="72" t="s">
        <v>141</v>
      </c>
      <c r="D51" s="73" t="s">
        <v>77</v>
      </c>
      <c r="E51" s="74">
        <v>0.0252</v>
      </c>
      <c r="F51" s="75">
        <v>188.26</v>
      </c>
      <c r="G51" s="75">
        <f t="shared" si="0"/>
        <v>4.74</v>
      </c>
      <c r="I51" s="67"/>
      <c r="J51" s="67"/>
    </row>
    <row r="52" spans="1:10" ht="39">
      <c r="A52" s="30" t="s">
        <v>58</v>
      </c>
      <c r="B52" s="71" t="s">
        <v>142</v>
      </c>
      <c r="C52" s="72" t="s">
        <v>143</v>
      </c>
      <c r="D52" s="73" t="s">
        <v>77</v>
      </c>
      <c r="E52" s="74">
        <v>0.0252</v>
      </c>
      <c r="F52" s="75">
        <v>18.010000000000002</v>
      </c>
      <c r="G52" s="75">
        <f t="shared" si="0"/>
        <v>0.45</v>
      </c>
      <c r="I52" s="67"/>
      <c r="J52" s="67"/>
    </row>
    <row r="53" spans="1:10" ht="26">
      <c r="A53" s="30" t="s">
        <v>58</v>
      </c>
      <c r="B53" s="71" t="s">
        <v>144</v>
      </c>
      <c r="C53" s="72" t="s">
        <v>145</v>
      </c>
      <c r="D53" s="73" t="s">
        <v>24</v>
      </c>
      <c r="E53" s="74">
        <v>1</v>
      </c>
      <c r="F53" s="75">
        <v>100.18</v>
      </c>
      <c r="G53" s="75">
        <f t="shared" si="0"/>
        <v>100.18</v>
      </c>
      <c r="I53" s="67"/>
      <c r="J53" s="67"/>
    </row>
    <row r="54" spans="1:10" ht="13">
      <c r="A54" s="30"/>
      <c r="B54" s="30"/>
      <c r="C54" s="76"/>
      <c r="D54" s="28"/>
      <c r="E54" s="77"/>
      <c r="F54" s="53" t="s">
        <v>48</v>
      </c>
      <c r="G54" s="78">
        <f>SUM(G12:G53)</f>
        <v>905.65</v>
      </c>
      <c r="I54" s="67"/>
      <c r="J54" s="67"/>
    </row>
    <row r="55" spans="1:10" ht="13">
      <c r="A55" s="66"/>
      <c r="B55" s="66"/>
      <c r="C55" s="66"/>
      <c r="D55" s="66"/>
      <c r="E55" s="66"/>
      <c r="F55" s="66"/>
      <c r="G55" s="66"/>
      <c r="I55" s="67"/>
      <c r="J55" s="67"/>
    </row>
    <row r="56" spans="1:10" ht="13">
      <c r="A56" s="28" t="e">
        <f>#REF!</f>
        <v>#REF!</v>
      </c>
      <c r="B56" s="28" t="str">
        <f>'BM (2)'!A15</f>
        <v>1.2</v>
      </c>
      <c r="C56" s="39" t="str">
        <f>'BM (2)'!B15</f>
        <v>PLACA DE OBRA EM LONA COM PLOTAGEM DE GRÁFICA</v>
      </c>
      <c r="D56" s="28" t="str">
        <f>'BM (2)'!C15</f>
        <v>m²</v>
      </c>
      <c r="E56" s="28"/>
      <c r="F56" s="28"/>
      <c r="G56" s="28"/>
      <c r="I56" s="67"/>
      <c r="J56" s="67"/>
    </row>
    <row r="57" spans="1:10" ht="13">
      <c r="A57" s="28" t="s">
        <v>54</v>
      </c>
      <c r="B57" s="28" t="s">
        <v>55</v>
      </c>
      <c r="C57" s="28" t="s">
        <v>10</v>
      </c>
      <c r="D57" s="28" t="s">
        <v>11</v>
      </c>
      <c r="E57" s="28" t="s">
        <v>56</v>
      </c>
      <c r="F57" s="69" t="s">
        <v>57</v>
      </c>
      <c r="G57" s="70" t="s">
        <v>14</v>
      </c>
      <c r="I57" s="67"/>
      <c r="J57" s="67"/>
    </row>
    <row r="58" spans="1:10" ht="13">
      <c r="A58" s="30" t="s">
        <v>146</v>
      </c>
      <c r="B58" s="71">
        <v>280013</v>
      </c>
      <c r="C58" s="72" t="s">
        <v>147</v>
      </c>
      <c r="D58" s="73" t="s">
        <v>61</v>
      </c>
      <c r="E58" s="74">
        <v>0.40</v>
      </c>
      <c r="F58" s="75">
        <v>22.61</v>
      </c>
      <c r="G58" s="75">
        <f>F58*E58</f>
        <v>9.0399999999999991</v>
      </c>
      <c r="I58" s="67"/>
      <c r="J58" s="67"/>
    </row>
    <row r="59" spans="1:10" ht="13">
      <c r="A59" s="30" t="s">
        <v>146</v>
      </c>
      <c r="B59" s="71">
        <v>280026</v>
      </c>
      <c r="C59" s="72" t="s">
        <v>148</v>
      </c>
      <c r="D59" s="73" t="s">
        <v>61</v>
      </c>
      <c r="E59" s="74">
        <v>0.40</v>
      </c>
      <c r="F59" s="75">
        <v>18.16</v>
      </c>
      <c r="G59" s="75">
        <f t="shared" si="1" ref="G59:G62">F59*E59</f>
        <v>7.26</v>
      </c>
      <c r="I59" s="67"/>
      <c r="J59" s="67"/>
    </row>
    <row r="60" spans="1:10" ht="13">
      <c r="A60" s="30" t="s">
        <v>146</v>
      </c>
      <c r="B60" s="71" t="s">
        <v>149</v>
      </c>
      <c r="C60" s="72" t="s">
        <v>150</v>
      </c>
      <c r="D60" s="73" t="s">
        <v>151</v>
      </c>
      <c r="E60" s="74">
        <v>0.41</v>
      </c>
      <c r="F60" s="75">
        <v>150</v>
      </c>
      <c r="G60" s="75">
        <f t="shared" si="1"/>
        <v>61.50</v>
      </c>
      <c r="I60" s="67"/>
      <c r="J60" s="67"/>
    </row>
    <row r="61" spans="1:10" ht="13">
      <c r="A61" s="30" t="s">
        <v>146</v>
      </c>
      <c r="B61" s="71" t="s">
        <v>152</v>
      </c>
      <c r="C61" s="72" t="s">
        <v>153</v>
      </c>
      <c r="D61" s="73" t="s">
        <v>24</v>
      </c>
      <c r="E61" s="74">
        <v>1</v>
      </c>
      <c r="F61" s="75">
        <v>80</v>
      </c>
      <c r="G61" s="75">
        <f t="shared" si="1"/>
        <v>80</v>
      </c>
      <c r="I61" s="67"/>
      <c r="J61" s="67"/>
    </row>
    <row r="62" spans="1:10" ht="13">
      <c r="A62" s="30" t="s">
        <v>146</v>
      </c>
      <c r="B62" s="71" t="s">
        <v>154</v>
      </c>
      <c r="C62" s="72" t="s">
        <v>155</v>
      </c>
      <c r="D62" s="73" t="s">
        <v>156</v>
      </c>
      <c r="E62" s="74">
        <v>0.10</v>
      </c>
      <c r="F62" s="75">
        <v>18.739999999999998</v>
      </c>
      <c r="G62" s="75">
        <f t="shared" si="1"/>
        <v>1.87</v>
      </c>
      <c r="I62" s="67"/>
      <c r="J62" s="67"/>
    </row>
    <row r="63" spans="1:10" ht="13">
      <c r="A63" s="30"/>
      <c r="B63" s="30"/>
      <c r="C63" s="76"/>
      <c r="D63" s="28"/>
      <c r="E63" s="77"/>
      <c r="F63" s="53" t="s">
        <v>48</v>
      </c>
      <c r="G63" s="78">
        <f>SUM(G58:G62)</f>
        <v>159.66999999999999</v>
      </c>
      <c r="I63" s="67"/>
      <c r="J63" s="67"/>
    </row>
    <row r="64" spans="1:10" ht="13">
      <c r="A64" s="66"/>
      <c r="B64" s="66"/>
      <c r="C64" s="66"/>
      <c r="D64" s="66"/>
      <c r="E64" s="66"/>
      <c r="F64" s="66"/>
      <c r="G64" s="66"/>
      <c r="I64" s="67"/>
      <c r="J64" s="67"/>
    </row>
    <row r="65" spans="1:10" ht="13">
      <c r="A65" s="28" t="e">
        <f>#REF!</f>
        <v>#REF!</v>
      </c>
      <c r="B65" s="28" t="str">
        <f>'BM (2)'!A16</f>
        <v>1.3</v>
      </c>
      <c r="C65" s="39" t="str">
        <f>'BM (2)'!B16</f>
        <v>LOCAÇÃO DE PAVIMENTAÇÃO</v>
      </c>
      <c r="D65" s="28" t="str">
        <f>'BM (2)'!C16</f>
        <v>m</v>
      </c>
      <c r="E65" s="28"/>
      <c r="F65" s="28"/>
      <c r="G65" s="28"/>
      <c r="I65" s="67"/>
      <c r="J65" s="67"/>
    </row>
    <row r="66" spans="1:10" ht="13">
      <c r="A66" s="28" t="s">
        <v>54</v>
      </c>
      <c r="B66" s="28" t="s">
        <v>55</v>
      </c>
      <c r="C66" s="28" t="s">
        <v>10</v>
      </c>
      <c r="D66" s="28" t="s">
        <v>11</v>
      </c>
      <c r="E66" s="28" t="s">
        <v>56</v>
      </c>
      <c r="F66" s="69" t="s">
        <v>57</v>
      </c>
      <c r="G66" s="70" t="s">
        <v>14</v>
      </c>
      <c r="I66" s="67"/>
      <c r="J66" s="67"/>
    </row>
    <row r="67" spans="1:10" ht="13">
      <c r="A67" s="30" t="s">
        <v>58</v>
      </c>
      <c r="B67" s="71">
        <v>99058</v>
      </c>
      <c r="C67" s="72" t="str">
        <f>C65</f>
        <v>LOCAÇÃO DE PAVIMENTAÇÃO</v>
      </c>
      <c r="D67" s="30" t="s">
        <v>77</v>
      </c>
      <c r="E67" s="74">
        <v>0.05</v>
      </c>
      <c r="F67" s="75">
        <v>8.60</v>
      </c>
      <c r="G67" s="75">
        <f>F67*E67</f>
        <v>0.43</v>
      </c>
      <c r="I67" s="67"/>
      <c r="J67" s="67"/>
    </row>
    <row r="68" spans="1:10" ht="13">
      <c r="A68" s="30"/>
      <c r="B68" s="30"/>
      <c r="C68" s="76"/>
      <c r="D68" s="28"/>
      <c r="E68" s="77"/>
      <c r="F68" s="53" t="s">
        <v>48</v>
      </c>
      <c r="G68" s="78">
        <f>SUM(G67:G67)</f>
        <v>0.43</v>
      </c>
      <c r="I68" s="67"/>
      <c r="J68" s="67"/>
    </row>
    <row r="69" spans="1:10" ht="13">
      <c r="A69" s="3"/>
      <c r="B69" s="3"/>
      <c r="C69" s="79"/>
      <c r="D69" s="6"/>
      <c r="E69" s="80"/>
      <c r="F69" s="81"/>
      <c r="G69" s="82"/>
      <c r="I69" s="67"/>
      <c r="J69" s="67"/>
    </row>
    <row r="70" spans="1:10" ht="13">
      <c r="A70" s="28" t="str">
        <f>'BM (2)'!A18</f>
        <v>2.0</v>
      </c>
      <c r="B70" s="29" t="str">
        <f>'BM (2)'!B18</f>
        <v>MOBILIZAÇÃO E DESMOBILIZAÇÃO</v>
      </c>
      <c r="C70" s="29"/>
      <c r="D70" s="29"/>
      <c r="E70" s="29"/>
      <c r="F70" s="29"/>
      <c r="G70" s="29"/>
      <c r="I70" s="67"/>
      <c r="J70" s="67"/>
    </row>
    <row r="71" spans="1:10" ht="13">
      <c r="A71" s="66"/>
      <c r="B71" s="66"/>
      <c r="C71" s="66"/>
      <c r="D71" s="66"/>
      <c r="E71" s="66"/>
      <c r="F71" s="66"/>
      <c r="G71" s="66"/>
      <c r="I71" s="67"/>
      <c r="J71" s="67"/>
    </row>
    <row r="72" spans="1:10" ht="13">
      <c r="A72" s="28" t="e">
        <f>#REF!</f>
        <v>#REF!</v>
      </c>
      <c r="B72" s="28" t="str">
        <f>'BM (2)'!A19</f>
        <v>2.1</v>
      </c>
      <c r="C72" s="29" t="str">
        <f>'BM (2)'!B19</f>
        <v>MOBILIZAÇÃO</v>
      </c>
      <c r="D72" s="28" t="str">
        <f>'BM (2)'!C19</f>
        <v>uni</v>
      </c>
      <c r="E72" s="28"/>
      <c r="F72" s="28"/>
      <c r="G72" s="28"/>
      <c r="I72" s="67"/>
      <c r="J72" s="67"/>
    </row>
    <row r="73" spans="1:10" ht="13">
      <c r="A73" s="28" t="s">
        <v>54</v>
      </c>
      <c r="B73" s="28" t="s">
        <v>55</v>
      </c>
      <c r="C73" s="28" t="s">
        <v>10</v>
      </c>
      <c r="D73" s="28" t="s">
        <v>11</v>
      </c>
      <c r="E73" s="28" t="s">
        <v>56</v>
      </c>
      <c r="F73" s="69" t="s">
        <v>57</v>
      </c>
      <c r="G73" s="70" t="s">
        <v>14</v>
      </c>
      <c r="I73" s="67"/>
      <c r="J73" s="67"/>
    </row>
    <row r="74" spans="1:10" ht="52">
      <c r="A74" s="30" t="s">
        <v>58</v>
      </c>
      <c r="B74" s="83">
        <v>5826</v>
      </c>
      <c r="C74" s="84" t="s">
        <v>157</v>
      </c>
      <c r="D74" s="85" t="s">
        <v>158</v>
      </c>
      <c r="E74" s="74">
        <v>4</v>
      </c>
      <c r="F74" s="86">
        <v>47.97</v>
      </c>
      <c r="G74" s="75">
        <f>F74*E74</f>
        <v>191.88</v>
      </c>
      <c r="H74" s="87"/>
      <c r="I74" s="67"/>
      <c r="J74" s="67"/>
    </row>
    <row r="75" spans="1:10" ht="52">
      <c r="A75" s="30" t="s">
        <v>58</v>
      </c>
      <c r="B75" s="83">
        <v>5824</v>
      </c>
      <c r="C75" s="84" t="s">
        <v>159</v>
      </c>
      <c r="D75" s="85" t="s">
        <v>160</v>
      </c>
      <c r="E75" s="74">
        <v>4</v>
      </c>
      <c r="F75" s="86">
        <v>212.19</v>
      </c>
      <c r="G75" s="75">
        <f t="shared" si="2" ref="G75:G78">F75*E75</f>
        <v>848.76</v>
      </c>
      <c r="I75" s="67"/>
      <c r="J75" s="67"/>
    </row>
    <row r="76" spans="1:10" ht="13">
      <c r="A76" s="30" t="s">
        <v>58</v>
      </c>
      <c r="B76" s="83">
        <v>88316</v>
      </c>
      <c r="C76" s="88" t="s">
        <v>161</v>
      </c>
      <c r="D76" s="85" t="s">
        <v>61</v>
      </c>
      <c r="E76" s="74">
        <f>8*4</f>
        <v>32</v>
      </c>
      <c r="F76" s="86">
        <v>19.06</v>
      </c>
      <c r="G76" s="75">
        <f t="shared" si="2"/>
        <v>609.91999999999996</v>
      </c>
      <c r="I76" s="67"/>
      <c r="J76" s="67"/>
    </row>
    <row r="77" spans="1:10" ht="26">
      <c r="A77" s="85" t="s">
        <v>162</v>
      </c>
      <c r="B77" s="83">
        <v>5919716</v>
      </c>
      <c r="C77" s="84" t="s">
        <v>163</v>
      </c>
      <c r="D77" s="85" t="s">
        <v>164</v>
      </c>
      <c r="E77" s="74">
        <v>201</v>
      </c>
      <c r="F77" s="86">
        <v>230.88</v>
      </c>
      <c r="G77" s="75">
        <f t="shared" si="2"/>
        <v>46406.88</v>
      </c>
      <c r="I77" s="67"/>
      <c r="J77" s="67"/>
    </row>
    <row r="78" spans="1:10" ht="13">
      <c r="A78" s="85" t="s">
        <v>58</v>
      </c>
      <c r="B78" s="83">
        <v>88316</v>
      </c>
      <c r="C78" s="88" t="s">
        <v>165</v>
      </c>
      <c r="D78" s="85" t="s">
        <v>61</v>
      </c>
      <c r="E78" s="74">
        <f>15*4</f>
        <v>60</v>
      </c>
      <c r="F78" s="86">
        <v>19.06</v>
      </c>
      <c r="G78" s="75">
        <f t="shared" si="2"/>
        <v>1143.5999999999999</v>
      </c>
      <c r="I78" s="67"/>
      <c r="J78" s="67"/>
    </row>
    <row r="79" spans="1:10" ht="13">
      <c r="A79" s="30"/>
      <c r="B79" s="30"/>
      <c r="C79" s="76"/>
      <c r="D79" s="28"/>
      <c r="E79" s="77"/>
      <c r="F79" s="53" t="s">
        <v>48</v>
      </c>
      <c r="G79" s="78">
        <f>SUM(G74:G78)</f>
        <v>49201.04</v>
      </c>
      <c r="I79" s="67"/>
      <c r="J79" s="67"/>
    </row>
    <row r="80" spans="1:10" ht="13">
      <c r="A80" s="3"/>
      <c r="B80" s="3"/>
      <c r="C80" s="79"/>
      <c r="D80" s="6"/>
      <c r="E80" s="80"/>
      <c r="F80" s="81"/>
      <c r="G80" s="82"/>
      <c r="I80" s="67"/>
      <c r="J80" s="67"/>
    </row>
    <row r="81" spans="1:10" ht="13">
      <c r="A81" s="28" t="e">
        <f>#REF!</f>
        <v>#REF!</v>
      </c>
      <c r="B81" s="28" t="str">
        <f>'BM (2)'!A20</f>
        <v>2.2</v>
      </c>
      <c r="C81" s="29" t="str">
        <f>'BM (2)'!B20</f>
        <v>DESMOBILIZAÇÃO</v>
      </c>
      <c r="D81" s="28" t="str">
        <f>'BM (2)'!C20</f>
        <v>uni</v>
      </c>
      <c r="E81" s="28"/>
      <c r="F81" s="28"/>
      <c r="G81" s="28"/>
      <c r="I81" s="67"/>
      <c r="J81" s="67"/>
    </row>
    <row r="82" spans="1:10" ht="13">
      <c r="A82" s="28" t="s">
        <v>54</v>
      </c>
      <c r="B82" s="28" t="s">
        <v>55</v>
      </c>
      <c r="C82" s="28" t="s">
        <v>10</v>
      </c>
      <c r="D82" s="28" t="s">
        <v>11</v>
      </c>
      <c r="E82" s="28" t="s">
        <v>56</v>
      </c>
      <c r="F82" s="69" t="s">
        <v>57</v>
      </c>
      <c r="G82" s="70" t="s">
        <v>14</v>
      </c>
      <c r="I82" s="67"/>
      <c r="J82" s="67"/>
    </row>
    <row r="83" spans="1:10" ht="52">
      <c r="A83" s="30" t="s">
        <v>58</v>
      </c>
      <c r="B83" s="83">
        <v>5826</v>
      </c>
      <c r="C83" s="84" t="s">
        <v>166</v>
      </c>
      <c r="D83" s="85" t="s">
        <v>158</v>
      </c>
      <c r="E83" s="74">
        <f>E74</f>
        <v>4</v>
      </c>
      <c r="F83" s="86">
        <v>47.97</v>
      </c>
      <c r="G83" s="75">
        <f>F83*E83</f>
        <v>191.88</v>
      </c>
      <c r="I83" s="67"/>
      <c r="J83" s="67"/>
    </row>
    <row r="84" spans="1:10" ht="52">
      <c r="A84" s="30" t="s">
        <v>58</v>
      </c>
      <c r="B84" s="83">
        <v>5824</v>
      </c>
      <c r="C84" s="84" t="s">
        <v>167</v>
      </c>
      <c r="D84" s="85" t="s">
        <v>160</v>
      </c>
      <c r="E84" s="74">
        <f>E75</f>
        <v>4</v>
      </c>
      <c r="F84" s="86">
        <v>212.19</v>
      </c>
      <c r="G84" s="75">
        <f t="shared" si="3" ref="G84:G87">F84*E84</f>
        <v>848.76</v>
      </c>
      <c r="I84" s="67"/>
      <c r="J84" s="67"/>
    </row>
    <row r="85" spans="1:10" ht="13">
      <c r="A85" s="30" t="s">
        <v>58</v>
      </c>
      <c r="B85" s="83">
        <v>88316</v>
      </c>
      <c r="C85" s="88" t="s">
        <v>168</v>
      </c>
      <c r="D85" s="85" t="s">
        <v>61</v>
      </c>
      <c r="E85" s="74">
        <f>E76</f>
        <v>32</v>
      </c>
      <c r="F85" s="86">
        <v>19.06</v>
      </c>
      <c r="G85" s="75">
        <f t="shared" si="3"/>
        <v>609.91999999999996</v>
      </c>
      <c r="I85" s="67"/>
      <c r="J85" s="67"/>
    </row>
    <row r="86" spans="1:10" ht="26">
      <c r="A86" s="85" t="s">
        <v>162</v>
      </c>
      <c r="B86" s="83">
        <v>5919716</v>
      </c>
      <c r="C86" s="84" t="s">
        <v>163</v>
      </c>
      <c r="D86" s="85" t="s">
        <v>164</v>
      </c>
      <c r="E86" s="74">
        <v>201</v>
      </c>
      <c r="F86" s="86">
        <v>230.88</v>
      </c>
      <c r="G86" s="75">
        <f t="shared" si="3"/>
        <v>46406.88</v>
      </c>
      <c r="I86" s="67"/>
      <c r="J86" s="67"/>
    </row>
    <row r="87" spans="1:10" ht="13">
      <c r="A87" s="85" t="s">
        <v>58</v>
      </c>
      <c r="B87" s="83">
        <v>88316</v>
      </c>
      <c r="C87" s="88" t="s">
        <v>165</v>
      </c>
      <c r="D87" s="85" t="s">
        <v>61</v>
      </c>
      <c r="E87" s="74">
        <f>15*4</f>
        <v>60</v>
      </c>
      <c r="F87" s="86">
        <v>19.06</v>
      </c>
      <c r="G87" s="75">
        <f t="shared" si="3"/>
        <v>1143.5999999999999</v>
      </c>
      <c r="I87" s="67"/>
      <c r="J87" s="67"/>
    </row>
    <row r="88" spans="1:10" ht="13">
      <c r="A88" s="30"/>
      <c r="B88" s="30"/>
      <c r="C88" s="76"/>
      <c r="D88" s="28"/>
      <c r="E88" s="77"/>
      <c r="F88" s="53" t="s">
        <v>48</v>
      </c>
      <c r="G88" s="78">
        <f>SUM(G83:G87)</f>
        <v>49201.04</v>
      </c>
      <c r="I88" s="67"/>
      <c r="J88" s="67"/>
    </row>
    <row r="89" spans="1:10" ht="13">
      <c r="A89" s="66"/>
      <c r="B89" s="66"/>
      <c r="C89" s="66"/>
      <c r="D89" s="66"/>
      <c r="E89" s="66"/>
      <c r="F89" s="66"/>
      <c r="G89" s="66"/>
      <c r="I89" s="67"/>
      <c r="J89" s="67"/>
    </row>
    <row r="90" spans="1:10" ht="13">
      <c r="A90" s="28" t="str">
        <f>'BM (2)'!A22</f>
        <v>3.0</v>
      </c>
      <c r="B90" s="29" t="str">
        <f>'BM (2)'!B22</f>
        <v>ADMINISTRAÇÃO LOCAL</v>
      </c>
      <c r="C90" s="29"/>
      <c r="D90" s="29"/>
      <c r="E90" s="29"/>
      <c r="F90" s="29"/>
      <c r="G90" s="29"/>
      <c r="I90" s="67"/>
      <c r="J90" s="67"/>
    </row>
    <row r="91" spans="1:10" ht="13">
      <c r="A91" s="66"/>
      <c r="B91" s="66"/>
      <c r="C91" s="66"/>
      <c r="D91" s="66"/>
      <c r="E91" s="66"/>
      <c r="F91" s="66"/>
      <c r="G91" s="66"/>
      <c r="I91" s="67"/>
      <c r="J91" s="67"/>
    </row>
    <row r="92" spans="1:7" ht="13">
      <c r="A92" s="28" t="str">
        <f>'BM (2)'!A23</f>
        <v>3.1</v>
      </c>
      <c r="B92" s="28" t="e">
        <f>#REF!</f>
        <v>#REF!</v>
      </c>
      <c r="C92" s="29" t="str">
        <f>'BM (2)'!B23</f>
        <v>EQUIPE TÉCNICA</v>
      </c>
      <c r="D92" s="28"/>
      <c r="E92" s="28"/>
      <c r="F92" s="28"/>
      <c r="G92" s="28"/>
    </row>
    <row r="93" spans="1:7" ht="13">
      <c r="A93" s="28" t="s">
        <v>169</v>
      </c>
      <c r="B93" s="28" t="s">
        <v>9</v>
      </c>
      <c r="C93" s="28" t="s">
        <v>10</v>
      </c>
      <c r="D93" s="28" t="s">
        <v>11</v>
      </c>
      <c r="E93" s="28" t="s">
        <v>56</v>
      </c>
      <c r="F93" s="69" t="s">
        <v>57</v>
      </c>
      <c r="G93" s="70" t="s">
        <v>14</v>
      </c>
    </row>
    <row r="94" spans="1:7" ht="13">
      <c r="A94" s="30" t="s">
        <v>58</v>
      </c>
      <c r="B94" s="30">
        <v>90776</v>
      </c>
      <c r="C94" s="76" t="s">
        <v>170</v>
      </c>
      <c r="D94" s="30" t="s">
        <v>61</v>
      </c>
      <c r="E94" s="74">
        <f>8*22*18</f>
        <v>3168</v>
      </c>
      <c r="F94" s="89">
        <v>23.54</v>
      </c>
      <c r="G94" s="90">
        <f t="shared" si="4" ref="G94:G95">E94*F94</f>
        <v>74574.72</v>
      </c>
    </row>
    <row r="95" spans="1:7" ht="13">
      <c r="A95" s="30" t="s">
        <v>58</v>
      </c>
      <c r="B95" s="30">
        <v>88326</v>
      </c>
      <c r="C95" s="76" t="s">
        <v>171</v>
      </c>
      <c r="D95" s="30" t="s">
        <v>61</v>
      </c>
      <c r="E95" s="74">
        <f>8*22*18</f>
        <v>3168</v>
      </c>
      <c r="F95" s="90">
        <v>25.82</v>
      </c>
      <c r="G95" s="90">
        <f t="shared" si="4"/>
        <v>81797.759999999995</v>
      </c>
    </row>
    <row r="96" spans="1:11" ht="13">
      <c r="A96" s="30"/>
      <c r="B96" s="30"/>
      <c r="C96" s="76"/>
      <c r="D96" s="28"/>
      <c r="E96" s="77"/>
      <c r="F96" s="53" t="s">
        <v>48</v>
      </c>
      <c r="G96" s="91">
        <f>SUM(G94:G95)</f>
        <v>156372.48000000001</v>
      </c>
      <c r="I96" s="92">
        <f>127414*0.08</f>
        <v>10193.120000000001</v>
      </c>
      <c r="J96" s="92">
        <v>0.65517199999999998</v>
      </c>
      <c r="K96" s="92">
        <f>J96*I96</f>
        <v>6678.2468166400004</v>
      </c>
    </row>
    <row r="97" spans="1:7" ht="13">
      <c r="A97" s="3"/>
      <c r="B97" s="3"/>
      <c r="C97" s="79"/>
      <c r="D97" s="6"/>
      <c r="E97" s="80"/>
      <c r="F97" s="81"/>
      <c r="G97" s="7"/>
    </row>
    <row r="98" spans="1:7" ht="13">
      <c r="A98" s="28" t="str">
        <f>'BM (2)'!A25</f>
        <v>4.0</v>
      </c>
      <c r="B98" s="29" t="str">
        <f>'BM (2)'!B25</f>
        <v>PAVIMENTAÇÃO</v>
      </c>
      <c r="C98" s="29"/>
      <c r="D98" s="29"/>
      <c r="E98" s="29"/>
      <c r="F98" s="29"/>
      <c r="G98" s="29"/>
    </row>
    <row r="99" spans="1:15" ht="13">
      <c r="A99" s="3"/>
      <c r="B99" s="3"/>
      <c r="C99" s="79"/>
      <c r="D99" s="6"/>
      <c r="E99" s="80"/>
      <c r="F99" s="81"/>
      <c r="G99" s="7"/>
      <c r="M99" s="92" t="s">
        <v>172</v>
      </c>
      <c r="N99" s="92" t="s">
        <v>173</v>
      </c>
      <c r="O99" s="92" t="s">
        <v>56</v>
      </c>
    </row>
    <row r="100" spans="1:16" ht="25.5" customHeight="1">
      <c r="A100" s="28" t="e">
        <f>#REF!</f>
        <v>#REF!</v>
      </c>
      <c r="B100" s="28" t="e">
        <f>#REF!</f>
        <v>#REF!</v>
      </c>
      <c r="C100" s="39" t="str">
        <f>'BM (2)'!B26</f>
        <v>PISO EM CONCRETO COM CONCRETO MOLDADO IN LOCO, FEITO EM OBRA, ACABAMENTO CONVENCIONAL, NÃO ARMADO</v>
      </c>
      <c r="D100" s="28" t="str">
        <f>'BM (2)'!C26</f>
        <v>m³</v>
      </c>
      <c r="E100" s="28"/>
      <c r="F100" s="28"/>
      <c r="G100" s="28"/>
      <c r="I100" s="92">
        <v>225000</v>
      </c>
      <c r="J100" s="92">
        <v>1000</v>
      </c>
      <c r="M100" s="92">
        <v>1000</v>
      </c>
      <c r="N100" s="92">
        <v>680</v>
      </c>
      <c r="O100" s="93">
        <f>E110</f>
        <v>0.36</v>
      </c>
      <c r="P100" s="92">
        <f>O100*N100*M100</f>
        <v>244800</v>
      </c>
    </row>
    <row r="101" spans="1:7" ht="13">
      <c r="A101" s="28" t="s">
        <v>54</v>
      </c>
      <c r="B101" s="28" t="s">
        <v>55</v>
      </c>
      <c r="C101" s="28" t="s">
        <v>10</v>
      </c>
      <c r="D101" s="28" t="s">
        <v>11</v>
      </c>
      <c r="E101" s="28" t="s">
        <v>56</v>
      </c>
      <c r="F101" s="69" t="s">
        <v>57</v>
      </c>
      <c r="G101" s="70" t="s">
        <v>14</v>
      </c>
    </row>
    <row r="102" spans="1:15" ht="13">
      <c r="A102" s="30" t="s">
        <v>58</v>
      </c>
      <c r="B102" s="83">
        <v>88262</v>
      </c>
      <c r="C102" s="84" t="s">
        <v>174</v>
      </c>
      <c r="D102" s="85" t="s">
        <v>61</v>
      </c>
      <c r="E102" s="94">
        <v>1.6265000000000001</v>
      </c>
      <c r="F102" s="86">
        <v>26.05</v>
      </c>
      <c r="G102" s="75">
        <f>F102*E102</f>
        <v>42.37</v>
      </c>
      <c r="J102" s="95"/>
      <c r="O102" s="92">
        <f>680*45</f>
        <v>30600</v>
      </c>
    </row>
    <row r="103" spans="1:7" ht="13">
      <c r="A103" s="30" t="s">
        <v>58</v>
      </c>
      <c r="B103" s="83">
        <v>88309</v>
      </c>
      <c r="C103" s="84" t="s">
        <v>175</v>
      </c>
      <c r="D103" s="85" t="s">
        <v>61</v>
      </c>
      <c r="E103" s="94">
        <v>1.4145000000000001</v>
      </c>
      <c r="F103" s="86">
        <v>26.41</v>
      </c>
      <c r="G103" s="75">
        <f t="shared" si="5" ref="G103:G114">F103*E103</f>
        <v>37.36</v>
      </c>
    </row>
    <row r="104" spans="1:15" ht="13">
      <c r="A104" s="30" t="s">
        <v>58</v>
      </c>
      <c r="B104" s="83">
        <v>88316</v>
      </c>
      <c r="C104" s="88" t="s">
        <v>176</v>
      </c>
      <c r="D104" s="85" t="s">
        <v>61</v>
      </c>
      <c r="E104" s="94">
        <v>10</v>
      </c>
      <c r="F104" s="86">
        <v>20.97</v>
      </c>
      <c r="G104" s="75">
        <f t="shared" si="5"/>
        <v>209.70</v>
      </c>
      <c r="O104" s="92">
        <f>125000/45</f>
        <v>2777.7777777777801</v>
      </c>
    </row>
    <row r="105" spans="1:13" ht="26">
      <c r="A105" s="30" t="s">
        <v>58</v>
      </c>
      <c r="B105" s="83">
        <v>88830</v>
      </c>
      <c r="C105" s="88" t="s">
        <v>177</v>
      </c>
      <c r="D105" s="85" t="s">
        <v>160</v>
      </c>
      <c r="E105" s="74">
        <v>0.82589999999999997</v>
      </c>
      <c r="F105" s="86">
        <v>2.14</v>
      </c>
      <c r="G105" s="75">
        <f t="shared" si="5"/>
        <v>1.77</v>
      </c>
      <c r="J105" s="96"/>
      <c r="L105" s="92" t="s">
        <v>178</v>
      </c>
      <c r="M105" s="92" t="s">
        <v>179</v>
      </c>
    </row>
    <row r="106" spans="1:14" ht="26">
      <c r="A106" s="30" t="s">
        <v>58</v>
      </c>
      <c r="B106" s="83">
        <v>88831</v>
      </c>
      <c r="C106" s="88" t="s">
        <v>177</v>
      </c>
      <c r="D106" s="85" t="s">
        <v>158</v>
      </c>
      <c r="E106" s="74">
        <v>0.77869999999999995</v>
      </c>
      <c r="F106" s="86">
        <v>0.42</v>
      </c>
      <c r="G106" s="75">
        <f t="shared" si="5"/>
        <v>0.33</v>
      </c>
      <c r="J106" s="96"/>
      <c r="L106" s="92">
        <v>950</v>
      </c>
      <c r="M106" s="92">
        <v>1450</v>
      </c>
      <c r="N106" s="92">
        <f>L106/M106</f>
        <v>0.65517241379310298</v>
      </c>
    </row>
    <row r="107" spans="1:7" ht="13">
      <c r="A107" s="30" t="s">
        <v>58</v>
      </c>
      <c r="B107" s="83">
        <v>370</v>
      </c>
      <c r="C107" s="88" t="s">
        <v>180</v>
      </c>
      <c r="D107" s="85" t="s">
        <v>181</v>
      </c>
      <c r="E107" s="74">
        <v>0.75580000000000003</v>
      </c>
      <c r="F107" s="86">
        <v>85</v>
      </c>
      <c r="G107" s="75">
        <f t="shared" si="5"/>
        <v>64.239999999999995</v>
      </c>
    </row>
    <row r="108" spans="1:7" ht="13">
      <c r="A108" s="30" t="s">
        <v>58</v>
      </c>
      <c r="B108" s="83" t="s">
        <v>182</v>
      </c>
      <c r="C108" s="88" t="s">
        <v>183</v>
      </c>
      <c r="D108" s="85" t="s">
        <v>156</v>
      </c>
      <c r="E108" s="74">
        <v>350</v>
      </c>
      <c r="F108" s="86">
        <f>'COTAÇÕES (2)'!F11</f>
        <v>1.40</v>
      </c>
      <c r="G108" s="75">
        <f t="shared" si="5"/>
        <v>490</v>
      </c>
    </row>
    <row r="109" spans="1:15" ht="13">
      <c r="A109" s="30" t="s">
        <v>58</v>
      </c>
      <c r="B109" s="83">
        <v>4721</v>
      </c>
      <c r="C109" s="88" t="s">
        <v>184</v>
      </c>
      <c r="D109" s="85" t="s">
        <v>181</v>
      </c>
      <c r="E109" s="74">
        <v>0.65517199999999998</v>
      </c>
      <c r="F109" s="86">
        <v>179.06</v>
      </c>
      <c r="G109" s="75">
        <f t="shared" si="5"/>
        <v>117.32</v>
      </c>
      <c r="H109" s="97">
        <f>F109+G110</f>
        <v>262.18</v>
      </c>
      <c r="J109" s="92">
        <f>E109*'VIAS CONTEMPLADAS (2)'!F61*0.08</f>
        <v>6033.0334310400003</v>
      </c>
      <c r="K109" s="92">
        <v>125</v>
      </c>
      <c r="M109" s="92">
        <v>125</v>
      </c>
      <c r="O109" s="95"/>
    </row>
    <row r="110" spans="1:15" ht="39">
      <c r="A110" s="85" t="s">
        <v>162</v>
      </c>
      <c r="B110" s="83">
        <v>5919716</v>
      </c>
      <c r="C110" s="84" t="s">
        <v>185</v>
      </c>
      <c r="D110" s="85" t="s">
        <v>164</v>
      </c>
      <c r="E110" s="74">
        <v>0.36</v>
      </c>
      <c r="F110" s="86">
        <v>230.88</v>
      </c>
      <c r="G110" s="75">
        <f t="shared" si="5"/>
        <v>83.12</v>
      </c>
      <c r="H110" s="92" t="s">
        <v>186</v>
      </c>
      <c r="I110" s="98">
        <f>G110/E109</f>
        <v>126.86744899999999</v>
      </c>
      <c r="J110" s="92">
        <f>J109/'VIAS CONTEMPLADAS (2)'!F61</f>
        <v>0.052413759999999997</v>
      </c>
      <c r="K110" s="92">
        <v>2</v>
      </c>
      <c r="L110" s="92">
        <f>K110*J110</f>
        <v>0.10482751999999999</v>
      </c>
      <c r="M110" s="92">
        <v>100</v>
      </c>
      <c r="O110" s="95"/>
    </row>
    <row r="111" spans="1:14" ht="26">
      <c r="A111" s="30" t="s">
        <v>58</v>
      </c>
      <c r="B111" s="99" t="s">
        <v>187</v>
      </c>
      <c r="C111" s="84" t="s">
        <v>188</v>
      </c>
      <c r="D111" s="85" t="s">
        <v>189</v>
      </c>
      <c r="E111" s="74">
        <v>0.020500000000000001</v>
      </c>
      <c r="F111" s="86">
        <v>7.96</v>
      </c>
      <c r="G111" s="75">
        <f t="shared" si="5"/>
        <v>0.16</v>
      </c>
      <c r="I111" s="92" t="s">
        <v>190</v>
      </c>
      <c r="N111" s="92">
        <f>45.02*6000</f>
        <v>270120</v>
      </c>
    </row>
    <row r="112" spans="1:7" ht="13">
      <c r="A112" s="30" t="s">
        <v>58</v>
      </c>
      <c r="B112" s="99" t="s">
        <v>191</v>
      </c>
      <c r="C112" s="88" t="s">
        <v>192</v>
      </c>
      <c r="D112" s="85" t="s">
        <v>66</v>
      </c>
      <c r="E112" s="74">
        <v>1</v>
      </c>
      <c r="F112" s="86">
        <v>5.40</v>
      </c>
      <c r="G112" s="75">
        <f t="shared" si="5"/>
        <v>5.40</v>
      </c>
    </row>
    <row r="113" spans="1:11" ht="13">
      <c r="A113" s="85" t="s">
        <v>162</v>
      </c>
      <c r="B113" s="99" t="s">
        <v>193</v>
      </c>
      <c r="C113" s="84" t="s">
        <v>194</v>
      </c>
      <c r="D113" s="85" t="s">
        <v>66</v>
      </c>
      <c r="E113" s="74">
        <v>0.70</v>
      </c>
      <c r="F113" s="86">
        <v>3.72</v>
      </c>
      <c r="G113" s="75">
        <f t="shared" si="5"/>
        <v>2.60</v>
      </c>
      <c r="K113" s="92">
        <f>12*27*3*0.75</f>
        <v>729</v>
      </c>
    </row>
    <row r="114" spans="1:7" ht="13">
      <c r="A114" s="85" t="s">
        <v>58</v>
      </c>
      <c r="B114" s="99" t="s">
        <v>195</v>
      </c>
      <c r="C114" s="88" t="s">
        <v>196</v>
      </c>
      <c r="D114" s="85" t="s">
        <v>156</v>
      </c>
      <c r="E114" s="74">
        <v>0.105</v>
      </c>
      <c r="F114" s="86">
        <v>22.92</v>
      </c>
      <c r="G114" s="75">
        <f t="shared" si="5"/>
        <v>2.41</v>
      </c>
    </row>
    <row r="115" spans="1:13" ht="13.5" thickBot="1">
      <c r="A115" s="30"/>
      <c r="B115" s="30"/>
      <c r="C115" s="76"/>
      <c r="D115" s="28"/>
      <c r="E115" s="77"/>
      <c r="F115" s="53" t="s">
        <v>48</v>
      </c>
      <c r="G115" s="78">
        <f>SUM(G102:G114)</f>
        <v>1056.78</v>
      </c>
      <c r="M115" s="92" t="s">
        <v>197</v>
      </c>
    </row>
    <row r="116" spans="1:14" ht="13.5" thickBot="1">
      <c r="A116" s="3"/>
      <c r="B116" s="3"/>
      <c r="C116" s="79"/>
      <c r="D116" s="6"/>
      <c r="E116" s="80"/>
      <c r="F116" s="81"/>
      <c r="G116" s="82"/>
      <c r="I116" s="92" t="s">
        <v>198</v>
      </c>
      <c r="J116" s="92">
        <v>6</v>
      </c>
      <c r="K116" s="100">
        <v>125000</v>
      </c>
      <c r="L116" s="100">
        <f>K116*J116</f>
        <v>750000</v>
      </c>
      <c r="M116" s="96">
        <f>L116/L121</f>
        <v>1102.94</v>
      </c>
      <c r="N116" s="101">
        <f>M116/J117</f>
        <v>0.18</v>
      </c>
    </row>
    <row r="117" spans="1:12" ht="13">
      <c r="A117" s="28" t="e">
        <f>#REF!</f>
        <v>#REF!</v>
      </c>
      <c r="B117" s="28" t="str">
        <f>'BM (2)'!A27</f>
        <v>4.2</v>
      </c>
      <c r="C117" s="29" t="str">
        <f>'BM (2)'!B27</f>
        <v>MEIO-FIO EM CONCRETO NAS DIMENSÕES 0,30M x 0,12M SEM LÂMINA D'ÁGUA</v>
      </c>
      <c r="D117" s="28" t="str">
        <f>'BM (2)'!C27</f>
        <v>m</v>
      </c>
      <c r="E117" s="28"/>
      <c r="F117" s="28"/>
      <c r="G117" s="28"/>
      <c r="I117" s="92" t="s">
        <v>199</v>
      </c>
      <c r="J117" s="92">
        <v>6000</v>
      </c>
      <c r="K117" s="100">
        <v>100</v>
      </c>
      <c r="L117" s="100">
        <f>K117*J117</f>
        <v>600000</v>
      </c>
    </row>
    <row r="118" spans="1:12" ht="13">
      <c r="A118" s="28" t="s">
        <v>54</v>
      </c>
      <c r="B118" s="28" t="s">
        <v>55</v>
      </c>
      <c r="C118" s="28" t="s">
        <v>10</v>
      </c>
      <c r="D118" s="28" t="s">
        <v>11</v>
      </c>
      <c r="E118" s="28" t="s">
        <v>56</v>
      </c>
      <c r="F118" s="69" t="s">
        <v>57</v>
      </c>
      <c r="G118" s="70" t="s">
        <v>14</v>
      </c>
      <c r="L118" s="102">
        <f>L116+L117</f>
        <v>1350000</v>
      </c>
    </row>
    <row r="119" spans="1:7" ht="13">
      <c r="A119" s="30" t="s">
        <v>146</v>
      </c>
      <c r="B119" s="83">
        <v>110141</v>
      </c>
      <c r="C119" s="84" t="s">
        <v>200</v>
      </c>
      <c r="D119" s="85" t="s">
        <v>45</v>
      </c>
      <c r="E119" s="74">
        <v>0.0089999999999999993</v>
      </c>
      <c r="F119" s="86">
        <v>564.98</v>
      </c>
      <c r="G119" s="75">
        <f>F119*E119</f>
        <v>5.08</v>
      </c>
    </row>
    <row r="120" spans="1:13" ht="13">
      <c r="A120" s="30" t="s">
        <v>146</v>
      </c>
      <c r="B120" s="83">
        <v>280004</v>
      </c>
      <c r="C120" s="84" t="s">
        <v>201</v>
      </c>
      <c r="D120" s="85" t="s">
        <v>61</v>
      </c>
      <c r="E120" s="74">
        <v>0.39400000000000002</v>
      </c>
      <c r="F120" s="86">
        <v>18.22</v>
      </c>
      <c r="G120" s="75">
        <f t="shared" si="6" ref="G120:G122">F120*E120</f>
        <v>7.18</v>
      </c>
      <c r="K120" s="92" t="s">
        <v>190</v>
      </c>
      <c r="M120" s="92" t="s">
        <v>202</v>
      </c>
    </row>
    <row r="121" spans="1:15" ht="13">
      <c r="A121" s="30" t="s">
        <v>146</v>
      </c>
      <c r="B121" s="83">
        <v>280023</v>
      </c>
      <c r="C121" s="88" t="s">
        <v>175</v>
      </c>
      <c r="D121" s="85" t="s">
        <v>61</v>
      </c>
      <c r="E121" s="74">
        <v>0.39400000000000002</v>
      </c>
      <c r="F121" s="86">
        <v>22.82</v>
      </c>
      <c r="G121" s="75">
        <f t="shared" si="6"/>
        <v>8.99</v>
      </c>
      <c r="K121" s="92">
        <v>6000</v>
      </c>
      <c r="L121" s="92">
        <v>680</v>
      </c>
      <c r="M121" s="92">
        <f>L121*K121</f>
        <v>4080000</v>
      </c>
      <c r="N121" s="92">
        <v>125</v>
      </c>
      <c r="O121" s="92">
        <f>M121/N121</f>
        <v>32640</v>
      </c>
    </row>
    <row r="122" spans="1:7" ht="13">
      <c r="A122" s="30" t="s">
        <v>146</v>
      </c>
      <c r="B122" s="83" t="s">
        <v>203</v>
      </c>
      <c r="C122" s="84" t="s">
        <v>204</v>
      </c>
      <c r="D122" s="85" t="s">
        <v>66</v>
      </c>
      <c r="E122" s="74">
        <v>1</v>
      </c>
      <c r="F122" s="86">
        <v>36</v>
      </c>
      <c r="G122" s="75">
        <f t="shared" si="6"/>
        <v>36</v>
      </c>
    </row>
    <row r="123" spans="1:7" ht="13">
      <c r="A123" s="30"/>
      <c r="B123" s="30"/>
      <c r="C123" s="76"/>
      <c r="D123" s="28"/>
      <c r="E123" s="77"/>
      <c r="F123" s="53" t="s">
        <v>48</v>
      </c>
      <c r="G123" s="78">
        <f>SUM(G119:G122)</f>
        <v>57.25</v>
      </c>
    </row>
    <row r="124" spans="1:12" ht="13">
      <c r="A124" s="3"/>
      <c r="B124" s="3"/>
      <c r="C124" s="79"/>
      <c r="D124" s="6"/>
      <c r="E124" s="80"/>
      <c r="F124" s="81"/>
      <c r="G124" s="82"/>
      <c r="L124" s="92" t="s">
        <v>205</v>
      </c>
    </row>
    <row r="125" spans="1:14" ht="13">
      <c r="A125" s="3"/>
      <c r="B125" s="3"/>
      <c r="C125" s="79"/>
      <c r="D125" s="6"/>
      <c r="E125" s="80"/>
      <c r="F125" s="81"/>
      <c r="G125" s="82"/>
      <c r="J125" s="92">
        <v>127414</v>
      </c>
      <c r="K125" s="92">
        <v>0.08</v>
      </c>
      <c r="L125" s="92">
        <f>K125*J125</f>
        <v>10193.120000000001</v>
      </c>
      <c r="M125" s="92">
        <f>L125*E109</f>
        <v>6678.2468166400004</v>
      </c>
      <c r="N125" s="96">
        <f>M125*G110</f>
        <v>555095.88</v>
      </c>
    </row>
    <row r="126" spans="1:12" ht="13">
      <c r="A126" s="3"/>
      <c r="B126" s="3"/>
      <c r="C126" s="79"/>
      <c r="D126" s="6"/>
      <c r="E126" s="80"/>
      <c r="F126" s="81"/>
      <c r="G126" s="82"/>
      <c r="L126" s="96">
        <f>L125*G110</f>
        <v>847252.13</v>
      </c>
    </row>
    <row r="127" spans="1:12" ht="13">
      <c r="A127" s="3"/>
      <c r="B127" s="3"/>
      <c r="C127" s="79"/>
      <c r="D127" s="6"/>
      <c r="E127" s="80"/>
      <c r="F127" s="81"/>
      <c r="G127" s="82"/>
      <c r="I127" s="92">
        <v>45.02</v>
      </c>
      <c r="J127" s="92">
        <v>680</v>
      </c>
      <c r="K127" s="92">
        <v>10193</v>
      </c>
      <c r="L127" s="92">
        <f>K127*J127*I127</f>
        <v>312044424.80000001</v>
      </c>
    </row>
    <row r="128" spans="1:7" ht="13">
      <c r="A128" s="3"/>
      <c r="B128" s="3"/>
      <c r="C128" s="79"/>
      <c r="D128" s="6"/>
      <c r="E128" s="80"/>
      <c r="F128" s="81"/>
      <c r="G128" s="82"/>
    </row>
    <row r="129" spans="1:1" ht="13">
      <c r="A129" s="103" t="s">
        <v>206</v>
      </c>
    </row>
    <row r="130" spans="1:1" ht="13">
      <c r="A130" s="103" t="s">
        <v>207</v>
      </c>
    </row>
    <row r="131" spans="1:1" ht="13">
      <c r="A131" s="103" t="s">
        <v>208</v>
      </c>
    </row>
  </sheetData>
  <mergeCells count="5">
    <mergeCell ref="A6:G6"/>
    <mergeCell ref="B8:G8"/>
    <mergeCell ref="B70:G70"/>
    <mergeCell ref="B90:G90"/>
    <mergeCell ref="B98:G98"/>
  </mergeCells>
  <printOptions horizontalCentered="1"/>
  <pageMargins left="0.5118110236220472" right="0.5118110236220472" top="0.7874015748031497" bottom="0.7874015748031497" header="0.31496062992125984" footer="0.31496062992125984"/>
  <pageSetup fitToHeight="2" horizontalDpi="360" verticalDpi="360" orientation="portrait" paperSize="9" scale="54" r:id="rId2"/>
  <headerFooter>
    <oddFooter>&amp;CPágina &amp;P de &amp;N</oddFooter>
  </headerFooter>
  <colBreaks count="1" manualBreakCount="1">
    <brk id="2" max="119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ea233b1-ce7c-4e66-9c22-9936feb8b7f9}">
  <dimension ref="A1:K17"/>
  <sheetViews>
    <sheetView workbookViewId="0" topLeftCell="A1">
      <selection pane="topLeft" activeCell="F22" sqref="F21:F22"/>
    </sheetView>
  </sheetViews>
  <sheetFormatPr defaultRowHeight="14.5" customHeight="1"/>
  <cols>
    <col min="1" max="1" width="9.142857142857142" style="1" customWidth="1"/>
    <col min="2" max="2" width="31.428571428571427" style="1" bestFit="1" customWidth="1"/>
    <col min="3" max="3" width="20.142857142857142" style="1" customWidth="1"/>
    <col min="4" max="4" width="17.714285714285715" style="1" customWidth="1"/>
    <col min="5" max="5" width="17.571428571428573" style="1" customWidth="1"/>
    <col min="6" max="6" width="11.571428571428571" style="1" bestFit="1" customWidth="1"/>
    <col min="7" max="16384" width="9.142857142857142" style="1" customWidth="1"/>
  </cols>
  <sheetData>
    <row r="1" spans="1:1" ht="14.5">
      <c r="A1" s="104" t="str">
        <f>'CPU (2)'!A1</f>
        <v>ESTADO DO PARÁ</v>
      </c>
    </row>
    <row r="2" spans="1:1" ht="14.5">
      <c r="A2" s="104" t="str">
        <f>'CPU (2)'!A2</f>
        <v>PREFEITURA MUNICIPAL DE TERRA SANTA</v>
      </c>
    </row>
    <row r="3" spans="1:1" ht="14.5">
      <c r="A3" s="104" t="str">
        <f>'CPU (2)'!A3</f>
        <v>OBRA: PAVIMENTAÇÃO EM CONCRETO DE VIAS URBANAS DO MUNICÍPIO DE TERRA SANTA</v>
      </c>
    </row>
    <row r="4" spans="1:1" ht="14.5">
      <c r="A4" s="104" t="str">
        <f>'CPU (2)'!A4</f>
        <v>LICITAÇÃO: CONCORRÊNCIA 01/2023</v>
      </c>
    </row>
    <row r="5" spans="1:1" ht="14.5">
      <c r="A5" s="104" t="s">
        <v>209</v>
      </c>
    </row>
    <row r="7" spans="1:11" ht="14.5">
      <c r="A7" s="105" t="s">
        <v>210</v>
      </c>
      <c r="B7" s="105"/>
      <c r="C7" s="105"/>
      <c r="D7" s="105"/>
      <c r="E7" s="105"/>
      <c r="F7" s="105"/>
      <c r="G7" s="106"/>
      <c r="H7" s="106"/>
      <c r="I7" s="106"/>
      <c r="J7" s="106"/>
      <c r="K7" s="106"/>
    </row>
    <row r="9" spans="1:6" ht="58.5" thickBot="1">
      <c r="A9" s="107" t="s">
        <v>9</v>
      </c>
      <c r="B9" s="107" t="s">
        <v>211</v>
      </c>
      <c r="C9" s="107" t="s">
        <v>212</v>
      </c>
      <c r="D9" s="107" t="s">
        <v>213</v>
      </c>
      <c r="E9" s="107" t="s">
        <v>214</v>
      </c>
      <c r="F9" s="108" t="s">
        <v>215</v>
      </c>
    </row>
    <row r="10" spans="1:6" ht="15" thickBot="1">
      <c r="A10" s="109">
        <v>1</v>
      </c>
      <c r="B10" s="110" t="s">
        <v>216</v>
      </c>
      <c r="C10" s="111">
        <v>70</v>
      </c>
      <c r="D10" s="111">
        <v>70</v>
      </c>
      <c r="E10" s="112">
        <v>70</v>
      </c>
      <c r="F10" s="113">
        <f>(C10+D10+E10)/3</f>
        <v>70</v>
      </c>
    </row>
    <row r="11" spans="5:6" ht="15" thickBot="1">
      <c r="E11" s="114" t="s">
        <v>217</v>
      </c>
      <c r="F11" s="115">
        <f>F10/50</f>
        <v>1.40</v>
      </c>
    </row>
    <row r="15" spans="1:1" ht="14.5">
      <c r="A15" s="103" t="s">
        <v>206</v>
      </c>
    </row>
    <row r="16" spans="1:1" ht="14.5">
      <c r="A16" s="103" t="s">
        <v>207</v>
      </c>
    </row>
    <row r="17" spans="1:1" ht="14.5">
      <c r="A17" s="103" t="s">
        <v>208</v>
      </c>
    </row>
  </sheetData>
  <mergeCells count="1">
    <mergeCell ref="A7:F7"/>
  </mergeCells>
  <pageMargins left="0.5118110236220472" right="0.5118110236220472" top="0.7874015748031497" bottom="0.7874015748031497" header="0.31496062992125984" footer="0.31496062992125984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01885a-b399-477f-a0f4-35f336a4c240}">
  <sheetPr>
    <pageSetUpPr fitToPage="1"/>
  </sheetPr>
  <dimension ref="A1:F68"/>
  <sheetViews>
    <sheetView showGridLines="0" view="pageBreakPreview" zoomScaleNormal="100" zoomScaleSheetLayoutView="100" workbookViewId="0" topLeftCell="A28">
      <selection pane="topLeft" activeCell="E60" sqref="E60"/>
    </sheetView>
  </sheetViews>
  <sheetFormatPr defaultColWidth="9.184285714285714" defaultRowHeight="13" customHeight="1"/>
  <cols>
    <col min="1" max="1" width="9.142857142857142" style="143"/>
    <col min="2" max="2" width="32" style="143" bestFit="1" customWidth="1"/>
    <col min="3" max="3" width="37.57142857142857" style="143" customWidth="1"/>
    <col min="4" max="4" width="15.142857142857142" style="144" customWidth="1"/>
    <col min="5" max="5" width="12.571428571428571" style="143" customWidth="1"/>
    <col min="6" max="6" width="16.142857142857142" style="143" customWidth="1"/>
    <col min="7" max="16384" width="9.142857142857142" style="143"/>
  </cols>
  <sheetData>
    <row r="1" spans="1:1" ht="13">
      <c r="A1" s="116" t="str">
        <f>'BM (2)'!A1</f>
        <v>ESTADO DO PARÁ</v>
      </c>
    </row>
    <row r="2" spans="1:1" ht="13">
      <c r="A2" s="116" t="str">
        <f>'BM (2)'!A2</f>
        <v>PREFEITURA MUNICIPAL DE TERRA SANTA</v>
      </c>
    </row>
    <row r="3" spans="1:6" ht="13">
      <c r="A3" s="116" t="str">
        <f>'BM (2)'!A3</f>
        <v>OBRA: PAVIMENTAÇÃO EM CONCRETO DE VIAS URBANAS DO MUNICÍPIO DE TERRA SANTA</v>
      </c>
      <c r="B3" s="117"/>
      <c r="C3" s="117"/>
      <c r="D3" s="117"/>
      <c r="E3" s="117"/>
      <c r="F3" s="117"/>
    </row>
    <row r="4" spans="1:6" ht="13">
      <c r="A4" s="116"/>
      <c r="B4" s="117"/>
      <c r="C4" s="117"/>
      <c r="D4" s="117"/>
      <c r="E4" s="117"/>
      <c r="F4" s="117"/>
    </row>
    <row r="5" spans="1:6" ht="13">
      <c r="A5" s="116"/>
      <c r="B5" s="116"/>
      <c r="C5" s="116"/>
      <c r="D5" s="118"/>
      <c r="E5" s="116"/>
      <c r="F5" s="116"/>
    </row>
    <row r="6" spans="1:6" ht="15.5">
      <c r="A6" s="119" t="s">
        <v>218</v>
      </c>
      <c r="B6" s="119"/>
      <c r="C6" s="119"/>
      <c r="D6" s="119"/>
      <c r="E6" s="119"/>
      <c r="F6" s="119"/>
    </row>
    <row r="8" spans="1:6" ht="13">
      <c r="A8" s="120" t="s">
        <v>9</v>
      </c>
      <c r="B8" s="120" t="s">
        <v>219</v>
      </c>
      <c r="C8" s="120" t="s">
        <v>220</v>
      </c>
      <c r="D8" s="121" t="s">
        <v>221</v>
      </c>
      <c r="E8" s="120" t="s">
        <v>222</v>
      </c>
      <c r="F8" s="120" t="s">
        <v>223</v>
      </c>
    </row>
    <row r="9" spans="1:6" ht="14.5">
      <c r="A9" s="122">
        <v>1</v>
      </c>
      <c r="B9" s="123" t="s">
        <v>224</v>
      </c>
      <c r="C9" s="123" t="s">
        <v>225</v>
      </c>
      <c r="D9" s="124">
        <v>238</v>
      </c>
      <c r="E9" s="124">
        <v>7</v>
      </c>
      <c r="F9" s="125">
        <f t="shared" si="0" ref="F9:F17">SUM(D9*E9)</f>
        <v>1666</v>
      </c>
    </row>
    <row r="10" spans="1:6" ht="14.5">
      <c r="A10" s="122">
        <v>2</v>
      </c>
      <c r="B10" s="123" t="s">
        <v>226</v>
      </c>
      <c r="C10" s="123" t="s">
        <v>227</v>
      </c>
      <c r="D10" s="124">
        <v>266</v>
      </c>
      <c r="E10" s="124">
        <v>7</v>
      </c>
      <c r="F10" s="125">
        <f t="shared" si="0"/>
        <v>1862</v>
      </c>
    </row>
    <row r="11" spans="1:6" ht="14.5">
      <c r="A11" s="122">
        <v>3</v>
      </c>
      <c r="B11" s="123" t="s">
        <v>228</v>
      </c>
      <c r="C11" s="123" t="s">
        <v>225</v>
      </c>
      <c r="D11" s="124">
        <v>208</v>
      </c>
      <c r="E11" s="124">
        <v>7</v>
      </c>
      <c r="F11" s="125">
        <f t="shared" si="0"/>
        <v>1456</v>
      </c>
    </row>
    <row r="12" spans="1:6" ht="14.5">
      <c r="A12" s="122">
        <v>4</v>
      </c>
      <c r="B12" s="123" t="s">
        <v>229</v>
      </c>
      <c r="C12" s="123" t="s">
        <v>225</v>
      </c>
      <c r="D12" s="124">
        <v>203</v>
      </c>
      <c r="E12" s="124">
        <v>7</v>
      </c>
      <c r="F12" s="125">
        <f t="shared" si="0"/>
        <v>1421</v>
      </c>
    </row>
    <row r="13" spans="1:6" ht="14.5">
      <c r="A13" s="122">
        <v>5</v>
      </c>
      <c r="B13" s="123" t="s">
        <v>230</v>
      </c>
      <c r="C13" s="123" t="s">
        <v>225</v>
      </c>
      <c r="D13" s="124">
        <v>198</v>
      </c>
      <c r="E13" s="124">
        <v>7</v>
      </c>
      <c r="F13" s="125">
        <f t="shared" si="0"/>
        <v>1386</v>
      </c>
    </row>
    <row r="14" spans="1:6" ht="14.5">
      <c r="A14" s="122">
        <v>6</v>
      </c>
      <c r="B14" s="123" t="s">
        <v>231</v>
      </c>
      <c r="C14" s="123" t="s">
        <v>225</v>
      </c>
      <c r="D14" s="124">
        <v>193</v>
      </c>
      <c r="E14" s="124">
        <v>7</v>
      </c>
      <c r="F14" s="125">
        <f t="shared" si="0"/>
        <v>1351</v>
      </c>
    </row>
    <row r="15" spans="1:6" ht="14.5">
      <c r="A15" s="122">
        <v>7</v>
      </c>
      <c r="B15" s="123" t="s">
        <v>232</v>
      </c>
      <c r="C15" s="123" t="s">
        <v>225</v>
      </c>
      <c r="D15" s="124">
        <v>183</v>
      </c>
      <c r="E15" s="124">
        <v>7</v>
      </c>
      <c r="F15" s="125">
        <f t="shared" si="0"/>
        <v>1281</v>
      </c>
    </row>
    <row r="16" spans="1:6" ht="14.5">
      <c r="A16" s="122">
        <v>8</v>
      </c>
      <c r="B16" s="123" t="s">
        <v>233</v>
      </c>
      <c r="C16" s="123" t="s">
        <v>225</v>
      </c>
      <c r="D16" s="124">
        <v>276</v>
      </c>
      <c r="E16" s="124">
        <v>7</v>
      </c>
      <c r="F16" s="125">
        <f t="shared" si="0"/>
        <v>1932</v>
      </c>
    </row>
    <row r="17" spans="1:6" ht="14.5">
      <c r="A17" s="122">
        <v>9</v>
      </c>
      <c r="B17" s="123" t="s">
        <v>234</v>
      </c>
      <c r="C17" s="123" t="s">
        <v>225</v>
      </c>
      <c r="D17" s="124">
        <v>256</v>
      </c>
      <c r="E17" s="124">
        <v>7</v>
      </c>
      <c r="F17" s="125">
        <f t="shared" si="0"/>
        <v>1792</v>
      </c>
    </row>
    <row r="18" spans="1:6" ht="14.5">
      <c r="A18" s="109">
        <v>10</v>
      </c>
      <c r="B18" s="123" t="s">
        <v>235</v>
      </c>
      <c r="C18" s="123" t="s">
        <v>236</v>
      </c>
      <c r="D18" s="124">
        <v>340</v>
      </c>
      <c r="E18" s="124">
        <v>7</v>
      </c>
      <c r="F18" s="125">
        <f t="shared" si="1" ref="F18:F59">SUM(D18*E18)</f>
        <v>2380</v>
      </c>
    </row>
    <row r="19" spans="1:6" ht="14.5">
      <c r="A19" s="109">
        <v>11</v>
      </c>
      <c r="B19" s="110" t="s">
        <v>237</v>
      </c>
      <c r="C19" s="123" t="s">
        <v>238</v>
      </c>
      <c r="D19" s="124">
        <v>165</v>
      </c>
      <c r="E19" s="124">
        <v>7</v>
      </c>
      <c r="F19" s="125">
        <f t="shared" si="1"/>
        <v>1155</v>
      </c>
    </row>
    <row r="20" spans="1:6" ht="14.5">
      <c r="A20" s="109">
        <v>12</v>
      </c>
      <c r="B20" s="110" t="s">
        <v>239</v>
      </c>
      <c r="C20" s="123" t="s">
        <v>240</v>
      </c>
      <c r="D20" s="124">
        <v>60</v>
      </c>
      <c r="E20" s="124">
        <v>7</v>
      </c>
      <c r="F20" s="125">
        <f t="shared" si="1"/>
        <v>420</v>
      </c>
    </row>
    <row r="21" spans="1:6" ht="14.5">
      <c r="A21" s="109">
        <v>13</v>
      </c>
      <c r="B21" s="110" t="s">
        <v>241</v>
      </c>
      <c r="C21" s="123" t="s">
        <v>242</v>
      </c>
      <c r="D21" s="124">
        <v>202</v>
      </c>
      <c r="E21" s="124">
        <v>7</v>
      </c>
      <c r="F21" s="125">
        <f t="shared" si="1"/>
        <v>1414</v>
      </c>
    </row>
    <row r="22" spans="1:6" ht="14.5">
      <c r="A22" s="109">
        <v>14</v>
      </c>
      <c r="B22" s="110" t="s">
        <v>243</v>
      </c>
      <c r="C22" s="123" t="s">
        <v>244</v>
      </c>
      <c r="D22" s="124">
        <v>102</v>
      </c>
      <c r="E22" s="124">
        <v>7</v>
      </c>
      <c r="F22" s="125">
        <f t="shared" si="1"/>
        <v>714</v>
      </c>
    </row>
    <row r="23" spans="1:6" ht="14.5">
      <c r="A23" s="109">
        <v>15</v>
      </c>
      <c r="B23" s="110" t="s">
        <v>245</v>
      </c>
      <c r="C23" s="123" t="s">
        <v>246</v>
      </c>
      <c r="D23" s="124">
        <v>330</v>
      </c>
      <c r="E23" s="124">
        <v>7</v>
      </c>
      <c r="F23" s="125">
        <f t="shared" si="1"/>
        <v>2310</v>
      </c>
    </row>
    <row r="24" spans="1:6" ht="14.5">
      <c r="A24" s="109">
        <v>16</v>
      </c>
      <c r="B24" s="110" t="s">
        <v>247</v>
      </c>
      <c r="C24" s="123" t="s">
        <v>248</v>
      </c>
      <c r="D24" s="124">
        <v>750</v>
      </c>
      <c r="E24" s="124">
        <v>7</v>
      </c>
      <c r="F24" s="125">
        <f t="shared" si="1"/>
        <v>5250</v>
      </c>
    </row>
    <row r="25" spans="1:6" ht="14.5">
      <c r="A25" s="109">
        <v>17</v>
      </c>
      <c r="B25" s="110" t="s">
        <v>249</v>
      </c>
      <c r="C25" s="123" t="s">
        <v>248</v>
      </c>
      <c r="D25" s="124">
        <v>690</v>
      </c>
      <c r="E25" s="124">
        <v>7</v>
      </c>
      <c r="F25" s="125">
        <f t="shared" si="1"/>
        <v>4830</v>
      </c>
    </row>
    <row r="26" spans="1:6" ht="14.5">
      <c r="A26" s="109">
        <v>18</v>
      </c>
      <c r="B26" s="110" t="s">
        <v>250</v>
      </c>
      <c r="C26" s="123" t="s">
        <v>251</v>
      </c>
      <c r="D26" s="124">
        <v>120</v>
      </c>
      <c r="E26" s="124">
        <v>7</v>
      </c>
      <c r="F26" s="125">
        <f t="shared" si="1"/>
        <v>840</v>
      </c>
    </row>
    <row r="27" spans="1:6" ht="14.5">
      <c r="A27" s="109">
        <v>19</v>
      </c>
      <c r="B27" s="110" t="s">
        <v>252</v>
      </c>
      <c r="C27" s="123" t="s">
        <v>253</v>
      </c>
      <c r="D27" s="126">
        <v>400</v>
      </c>
      <c r="E27" s="124">
        <v>7</v>
      </c>
      <c r="F27" s="125">
        <f t="shared" si="1"/>
        <v>2800</v>
      </c>
    </row>
    <row r="28" spans="1:6" ht="14.5">
      <c r="A28" s="109">
        <v>20</v>
      </c>
      <c r="B28" s="110" t="s">
        <v>254</v>
      </c>
      <c r="C28" s="123" t="s">
        <v>253</v>
      </c>
      <c r="D28" s="126">
        <v>320</v>
      </c>
      <c r="E28" s="124">
        <v>7</v>
      </c>
      <c r="F28" s="125">
        <f t="shared" si="1"/>
        <v>2240</v>
      </c>
    </row>
    <row r="29" spans="1:6" ht="14.5">
      <c r="A29" s="109">
        <v>21</v>
      </c>
      <c r="B29" s="110" t="s">
        <v>255</v>
      </c>
      <c r="C29" s="123" t="s">
        <v>256</v>
      </c>
      <c r="D29" s="126">
        <v>1010</v>
      </c>
      <c r="E29" s="124">
        <v>7</v>
      </c>
      <c r="F29" s="125">
        <f t="shared" si="1"/>
        <v>7070</v>
      </c>
    </row>
    <row r="30" spans="1:6" ht="14.5">
      <c r="A30" s="109">
        <v>22</v>
      </c>
      <c r="B30" s="110" t="s">
        <v>257</v>
      </c>
      <c r="C30" s="123" t="s">
        <v>258</v>
      </c>
      <c r="D30" s="126">
        <v>90</v>
      </c>
      <c r="E30" s="124">
        <v>7</v>
      </c>
      <c r="F30" s="125">
        <f t="shared" si="1"/>
        <v>630</v>
      </c>
    </row>
    <row r="31" spans="1:6" ht="14.5">
      <c r="A31" s="109">
        <v>23</v>
      </c>
      <c r="B31" s="110" t="s">
        <v>259</v>
      </c>
      <c r="C31" s="123" t="s">
        <v>258</v>
      </c>
      <c r="D31" s="126">
        <v>100</v>
      </c>
      <c r="E31" s="124">
        <v>7</v>
      </c>
      <c r="F31" s="125">
        <f t="shared" si="1"/>
        <v>700</v>
      </c>
    </row>
    <row r="32" spans="1:6" ht="14.5">
      <c r="A32" s="109">
        <v>24</v>
      </c>
      <c r="B32" s="110" t="s">
        <v>260</v>
      </c>
      <c r="C32" s="123" t="s">
        <v>261</v>
      </c>
      <c r="D32" s="126">
        <v>202</v>
      </c>
      <c r="E32" s="124">
        <v>7</v>
      </c>
      <c r="F32" s="125">
        <f t="shared" si="1"/>
        <v>1414</v>
      </c>
    </row>
    <row r="33" spans="1:6" ht="14.5">
      <c r="A33" s="109">
        <v>25</v>
      </c>
      <c r="B33" s="110" t="s">
        <v>262</v>
      </c>
      <c r="C33" s="123" t="s">
        <v>244</v>
      </c>
      <c r="D33" s="126">
        <v>70</v>
      </c>
      <c r="E33" s="124">
        <v>7</v>
      </c>
      <c r="F33" s="125">
        <f t="shared" si="1"/>
        <v>490</v>
      </c>
    </row>
    <row r="34" spans="1:6" ht="14.5">
      <c r="A34" s="109">
        <v>26</v>
      </c>
      <c r="B34" s="110" t="s">
        <v>263</v>
      </c>
      <c r="C34" s="123" t="s">
        <v>264</v>
      </c>
      <c r="D34" s="126">
        <v>420</v>
      </c>
      <c r="E34" s="124">
        <v>7</v>
      </c>
      <c r="F34" s="125">
        <f t="shared" si="1"/>
        <v>2940</v>
      </c>
    </row>
    <row r="35" spans="1:6" ht="14.5">
      <c r="A35" s="109">
        <v>27</v>
      </c>
      <c r="B35" s="110" t="s">
        <v>265</v>
      </c>
      <c r="C35" s="123" t="s">
        <v>266</v>
      </c>
      <c r="D35" s="126">
        <v>860</v>
      </c>
      <c r="E35" s="124">
        <v>7</v>
      </c>
      <c r="F35" s="125">
        <f t="shared" si="1"/>
        <v>6020</v>
      </c>
    </row>
    <row r="36" spans="1:6" ht="14.5">
      <c r="A36" s="109">
        <v>28</v>
      </c>
      <c r="B36" s="110" t="s">
        <v>267</v>
      </c>
      <c r="C36" s="123" t="s">
        <v>268</v>
      </c>
      <c r="D36" s="126">
        <f>191+192</f>
        <v>383</v>
      </c>
      <c r="E36" s="124">
        <v>7</v>
      </c>
      <c r="F36" s="125">
        <f t="shared" si="1"/>
        <v>2681</v>
      </c>
    </row>
    <row r="37" spans="1:6" ht="14.5">
      <c r="A37" s="109">
        <v>29</v>
      </c>
      <c r="B37" s="110" t="s">
        <v>269</v>
      </c>
      <c r="C37" s="123" t="s">
        <v>270</v>
      </c>
      <c r="D37" s="126">
        <f>346+182</f>
        <v>528</v>
      </c>
      <c r="E37" s="124">
        <v>7</v>
      </c>
      <c r="F37" s="125">
        <f t="shared" si="1"/>
        <v>3696</v>
      </c>
    </row>
    <row r="38" spans="1:6" ht="14.5">
      <c r="A38" s="109">
        <v>30</v>
      </c>
      <c r="B38" s="110" t="s">
        <v>271</v>
      </c>
      <c r="C38" s="123" t="s">
        <v>268</v>
      </c>
      <c r="D38" s="126">
        <f>178+190</f>
        <v>368</v>
      </c>
      <c r="E38" s="124">
        <v>7</v>
      </c>
      <c r="F38" s="125">
        <f t="shared" si="1"/>
        <v>2576</v>
      </c>
    </row>
    <row r="39" spans="1:6" ht="14.5">
      <c r="A39" s="109">
        <v>31</v>
      </c>
      <c r="B39" s="110" t="s">
        <v>272</v>
      </c>
      <c r="C39" s="123" t="s">
        <v>273</v>
      </c>
      <c r="D39" s="126">
        <v>345</v>
      </c>
      <c r="E39" s="124">
        <v>7</v>
      </c>
      <c r="F39" s="125">
        <f t="shared" si="1"/>
        <v>2415</v>
      </c>
    </row>
    <row r="40" spans="1:6" ht="14.5">
      <c r="A40" s="109">
        <v>32</v>
      </c>
      <c r="B40" s="110" t="s">
        <v>274</v>
      </c>
      <c r="C40" s="123" t="s">
        <v>275</v>
      </c>
      <c r="D40" s="126">
        <v>174</v>
      </c>
      <c r="E40" s="124">
        <v>7</v>
      </c>
      <c r="F40" s="125">
        <f t="shared" si="1"/>
        <v>1218</v>
      </c>
    </row>
    <row r="41" spans="1:6" ht="14.5">
      <c r="A41" s="109">
        <v>33</v>
      </c>
      <c r="B41" s="110" t="s">
        <v>276</v>
      </c>
      <c r="C41" s="123" t="s">
        <v>275</v>
      </c>
      <c r="D41" s="126">
        <v>170</v>
      </c>
      <c r="E41" s="124">
        <v>7</v>
      </c>
      <c r="F41" s="125">
        <f t="shared" si="1"/>
        <v>1190</v>
      </c>
    </row>
    <row r="42" spans="1:6" ht="14.5">
      <c r="A42" s="109">
        <v>34</v>
      </c>
      <c r="B42" s="110" t="s">
        <v>277</v>
      </c>
      <c r="C42" s="123" t="s">
        <v>278</v>
      </c>
      <c r="D42" s="126">
        <f>163+145</f>
        <v>308</v>
      </c>
      <c r="E42" s="124">
        <v>7</v>
      </c>
      <c r="F42" s="125">
        <f t="shared" si="1"/>
        <v>2156</v>
      </c>
    </row>
    <row r="43" spans="1:6" ht="14.5">
      <c r="A43" s="109">
        <v>35</v>
      </c>
      <c r="B43" s="110" t="s">
        <v>279</v>
      </c>
      <c r="C43" s="123" t="s">
        <v>280</v>
      </c>
      <c r="D43" s="126">
        <f>141+162</f>
        <v>303</v>
      </c>
      <c r="E43" s="124">
        <v>7</v>
      </c>
      <c r="F43" s="125">
        <f t="shared" si="1"/>
        <v>2121</v>
      </c>
    </row>
    <row r="44" spans="1:6" ht="14.5">
      <c r="A44" s="109">
        <v>36</v>
      </c>
      <c r="B44" s="110" t="s">
        <v>281</v>
      </c>
      <c r="C44" s="123" t="s">
        <v>280</v>
      </c>
      <c r="D44" s="126">
        <f>160+143</f>
        <v>303</v>
      </c>
      <c r="E44" s="124">
        <v>7</v>
      </c>
      <c r="F44" s="125">
        <f t="shared" si="1"/>
        <v>2121</v>
      </c>
    </row>
    <row r="45" spans="1:6" ht="14.5">
      <c r="A45" s="109">
        <v>37</v>
      </c>
      <c r="B45" s="110" t="s">
        <v>282</v>
      </c>
      <c r="C45" s="123" t="s">
        <v>283</v>
      </c>
      <c r="D45" s="126">
        <f>328+156</f>
        <v>484</v>
      </c>
      <c r="E45" s="124">
        <v>7</v>
      </c>
      <c r="F45" s="125">
        <f t="shared" si="1"/>
        <v>3388</v>
      </c>
    </row>
    <row r="46" spans="1:6" ht="14.5">
      <c r="A46" s="109">
        <v>38</v>
      </c>
      <c r="B46" s="110" t="s">
        <v>284</v>
      </c>
      <c r="C46" s="123" t="s">
        <v>268</v>
      </c>
      <c r="D46" s="126">
        <f>178+152</f>
        <v>330</v>
      </c>
      <c r="E46" s="124">
        <v>7</v>
      </c>
      <c r="F46" s="125">
        <f t="shared" si="1"/>
        <v>2310</v>
      </c>
    </row>
    <row r="47" spans="1:6" ht="14.5">
      <c r="A47" s="109">
        <v>39</v>
      </c>
      <c r="B47" s="110" t="s">
        <v>285</v>
      </c>
      <c r="C47" s="123" t="s">
        <v>286</v>
      </c>
      <c r="D47" s="126">
        <f>233+150</f>
        <v>383</v>
      </c>
      <c r="E47" s="124">
        <v>7</v>
      </c>
      <c r="F47" s="125">
        <f t="shared" si="1"/>
        <v>2681</v>
      </c>
    </row>
    <row r="48" spans="1:6" ht="14.5">
      <c r="A48" s="109">
        <v>40</v>
      </c>
      <c r="B48" s="110" t="s">
        <v>287</v>
      </c>
      <c r="C48" s="123" t="s">
        <v>288</v>
      </c>
      <c r="D48" s="126">
        <f>315+160</f>
        <v>475</v>
      </c>
      <c r="E48" s="124">
        <v>7</v>
      </c>
      <c r="F48" s="125">
        <f t="shared" si="1"/>
        <v>3325</v>
      </c>
    </row>
    <row r="49" spans="1:6" ht="14.5">
      <c r="A49" s="109">
        <v>41</v>
      </c>
      <c r="B49" s="110" t="s">
        <v>289</v>
      </c>
      <c r="C49" s="123" t="s">
        <v>283</v>
      </c>
      <c r="D49" s="126">
        <f>311+152</f>
        <v>463</v>
      </c>
      <c r="E49" s="124">
        <v>7</v>
      </c>
      <c r="F49" s="125">
        <f t="shared" si="1"/>
        <v>3241</v>
      </c>
    </row>
    <row r="50" spans="1:6" ht="14.5">
      <c r="A50" s="109">
        <v>42</v>
      </c>
      <c r="B50" s="110" t="s">
        <v>290</v>
      </c>
      <c r="C50" s="123" t="s">
        <v>275</v>
      </c>
      <c r="D50" s="126">
        <v>150</v>
      </c>
      <c r="E50" s="124">
        <v>7</v>
      </c>
      <c r="F50" s="125">
        <f t="shared" si="1"/>
        <v>1050</v>
      </c>
    </row>
    <row r="51" spans="1:6" ht="14.5">
      <c r="A51" s="109">
        <v>43</v>
      </c>
      <c r="B51" s="110" t="s">
        <v>291</v>
      </c>
      <c r="C51" s="123" t="s">
        <v>292</v>
      </c>
      <c r="D51" s="126">
        <f>153+80</f>
        <v>233</v>
      </c>
      <c r="E51" s="124">
        <v>7</v>
      </c>
      <c r="F51" s="125">
        <f t="shared" si="1"/>
        <v>1631</v>
      </c>
    </row>
    <row r="52" spans="1:6" ht="14.5">
      <c r="A52" s="109">
        <v>44</v>
      </c>
      <c r="B52" s="110" t="s">
        <v>293</v>
      </c>
      <c r="C52" s="123" t="s">
        <v>275</v>
      </c>
      <c r="D52" s="126">
        <v>152</v>
      </c>
      <c r="E52" s="124">
        <v>7</v>
      </c>
      <c r="F52" s="125">
        <f t="shared" si="1"/>
        <v>1064</v>
      </c>
    </row>
    <row r="53" spans="1:6" ht="14.5">
      <c r="A53" s="109">
        <v>45</v>
      </c>
      <c r="B53" s="110" t="s">
        <v>294</v>
      </c>
      <c r="C53" s="123" t="s">
        <v>295</v>
      </c>
      <c r="D53" s="126">
        <v>263</v>
      </c>
      <c r="E53" s="124">
        <v>7</v>
      </c>
      <c r="F53" s="125">
        <f t="shared" si="1"/>
        <v>1841</v>
      </c>
    </row>
    <row r="54" spans="1:6" ht="14.5">
      <c r="A54" s="109">
        <v>46</v>
      </c>
      <c r="B54" s="110" t="s">
        <v>296</v>
      </c>
      <c r="C54" s="123" t="s">
        <v>295</v>
      </c>
      <c r="D54" s="126">
        <v>233</v>
      </c>
      <c r="E54" s="124">
        <v>7</v>
      </c>
      <c r="F54" s="125">
        <f t="shared" si="1"/>
        <v>1631</v>
      </c>
    </row>
    <row r="55" spans="1:6" ht="14.5">
      <c r="A55" s="109">
        <v>47</v>
      </c>
      <c r="B55" s="110" t="s">
        <v>297</v>
      </c>
      <c r="C55" s="123" t="s">
        <v>295</v>
      </c>
      <c r="D55" s="126">
        <v>231</v>
      </c>
      <c r="E55" s="124">
        <v>7</v>
      </c>
      <c r="F55" s="125">
        <f t="shared" si="1"/>
        <v>1617</v>
      </c>
    </row>
    <row r="56" spans="1:6" ht="14.5">
      <c r="A56" s="109">
        <v>48</v>
      </c>
      <c r="B56" s="110" t="s">
        <v>298</v>
      </c>
      <c r="C56" s="123" t="s">
        <v>295</v>
      </c>
      <c r="D56" s="126">
        <v>223</v>
      </c>
      <c r="E56" s="124">
        <v>7</v>
      </c>
      <c r="F56" s="125">
        <f t="shared" si="1"/>
        <v>1561</v>
      </c>
    </row>
    <row r="57" spans="1:6" ht="14.5">
      <c r="A57" s="109">
        <v>49</v>
      </c>
      <c r="B57" s="110" t="s">
        <v>299</v>
      </c>
      <c r="C57" s="123" t="s">
        <v>295</v>
      </c>
      <c r="D57" s="126">
        <v>203</v>
      </c>
      <c r="E57" s="124">
        <v>7</v>
      </c>
      <c r="F57" s="125">
        <f t="shared" si="1"/>
        <v>1421</v>
      </c>
    </row>
    <row r="58" spans="1:6" ht="14.5">
      <c r="A58" s="109">
        <v>50</v>
      </c>
      <c r="B58" s="110" t="s">
        <v>300</v>
      </c>
      <c r="C58" s="123" t="s">
        <v>301</v>
      </c>
      <c r="D58" s="126">
        <v>115</v>
      </c>
      <c r="E58" s="124">
        <v>7</v>
      </c>
      <c r="F58" s="125">
        <f t="shared" si="1"/>
        <v>805</v>
      </c>
    </row>
    <row r="59" spans="1:6" ht="14.5">
      <c r="A59" s="109">
        <v>51</v>
      </c>
      <c r="B59" s="110" t="s">
        <v>302</v>
      </c>
      <c r="C59" s="123" t="s">
        <v>303</v>
      </c>
      <c r="D59" s="124">
        <v>1200</v>
      </c>
      <c r="E59" s="124">
        <v>8</v>
      </c>
      <c r="F59" s="125">
        <f t="shared" si="1"/>
        <v>9600</v>
      </c>
    </row>
    <row r="60" spans="1:6" ht="15" thickBot="1">
      <c r="A60" s="127"/>
      <c r="B60" s="128"/>
      <c r="C60" s="129"/>
      <c r="D60" s="130"/>
      <c r="E60" s="131"/>
      <c r="F60" s="132"/>
    </row>
    <row r="61" spans="1:6" ht="16" thickBot="1">
      <c r="A61" s="133" t="s">
        <v>304</v>
      </c>
      <c r="B61" s="134"/>
      <c r="C61" s="135"/>
      <c r="D61" s="136">
        <f>SUM(D9:D60)</f>
        <v>16272</v>
      </c>
      <c r="E61" s="137"/>
      <c r="F61" s="138">
        <f>SUM(F9:F60)</f>
        <v>115104</v>
      </c>
    </row>
    <row r="62" spans="1:6" ht="13">
      <c r="A62" s="139"/>
      <c r="B62" s="140"/>
      <c r="C62" s="140"/>
      <c r="D62" s="141"/>
      <c r="E62" s="140"/>
      <c r="F62" s="140"/>
    </row>
    <row r="63" spans="1:6" ht="13">
      <c r="A63" s="142"/>
      <c r="B63" s="140"/>
      <c r="C63" s="140"/>
      <c r="D63" s="141"/>
      <c r="E63" s="140"/>
      <c r="F63" s="140"/>
    </row>
    <row r="64" spans="1:6" ht="13">
      <c r="A64" s="142"/>
      <c r="B64" s="140"/>
      <c r="C64" s="140"/>
      <c r="D64" s="141"/>
      <c r="E64" s="140"/>
      <c r="F64" s="140"/>
    </row>
    <row r="65" spans="1:6" ht="13">
      <c r="A65" s="142"/>
      <c r="B65" s="142"/>
      <c r="C65" s="140"/>
      <c r="D65" s="141"/>
      <c r="E65" s="140"/>
      <c r="F65" s="140"/>
    </row>
    <row r="66" spans="1:1" ht="13">
      <c r="A66" s="103" t="s">
        <v>206</v>
      </c>
    </row>
    <row r="67" spans="1:1" ht="13">
      <c r="A67" s="103" t="s">
        <v>207</v>
      </c>
    </row>
    <row r="68" spans="1:1" ht="13">
      <c r="A68" s="103" t="s">
        <v>208</v>
      </c>
    </row>
  </sheetData>
  <mergeCells count="2">
    <mergeCell ref="A6:F6"/>
    <mergeCell ref="A61:C61"/>
  </mergeCells>
  <printOptions horizontalCentered="1"/>
  <pageMargins left="0.5118110236220472" right="0.5118110236220472" top="0.3937007874015748" bottom="0.3937007874015748" header="0.31496062992125984" footer="0.31496062992125984"/>
  <pageSetup horizontalDpi="360" verticalDpi="360" orientation="portrait" paperSize="9" scale="75" r:id="rId2"/>
  <headerFooter>
    <oddFooter>&amp;CPágina 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842bb2-8918-4f7b-8037-def662a2ea21}">
  <sheetPr>
    <pageSetUpPr fitToPage="1"/>
  </sheetPr>
  <dimension ref="A1:H63"/>
  <sheetViews>
    <sheetView view="pageBreakPreview" zoomScaleNormal="100" zoomScaleSheetLayoutView="100" workbookViewId="0" topLeftCell="A34">
      <selection pane="topLeft" activeCell="C49" sqref="C49"/>
    </sheetView>
  </sheetViews>
  <sheetFormatPr defaultColWidth="9.184285714285714" defaultRowHeight="12.75" customHeight="1"/>
  <cols>
    <col min="1" max="1" width="5.142857142857143" style="175" customWidth="1"/>
    <col min="2" max="2" width="36.285714285714285" style="175" bestFit="1" customWidth="1"/>
    <col min="3" max="3" width="12" style="175" bestFit="1" customWidth="1"/>
    <col min="4" max="4" width="6.857142857142857" style="175" bestFit="1" customWidth="1"/>
    <col min="5" max="5" width="10.428571428571429" style="175" bestFit="1" customWidth="1"/>
    <col min="6" max="6" width="10.142857142857142" style="175" bestFit="1" customWidth="1"/>
    <col min="7" max="7" width="9.142857142857142" style="175"/>
    <col min="8" max="8" width="9.142857142857142" style="175" customWidth="1"/>
    <col min="9" max="16384" width="9.142857142857142" style="175"/>
  </cols>
  <sheetData>
    <row r="1" spans="1:6" ht="12.75" customHeight="1">
      <c r="A1" s="63" t="str">
        <f>'BM (2)'!A1</f>
        <v>ESTADO DO PARÁ</v>
      </c>
      <c r="B1" s="63"/>
      <c r="C1" s="63"/>
      <c r="D1" s="145"/>
      <c r="E1" s="146"/>
      <c r="F1" s="146"/>
    </row>
    <row r="2" spans="1:6" ht="12.75" customHeight="1">
      <c r="A2" s="63" t="str">
        <f>'BM (2)'!A2</f>
        <v>PREFEITURA MUNICIPAL DE TERRA SANTA</v>
      </c>
      <c r="B2" s="2"/>
      <c r="C2" s="2"/>
      <c r="D2" s="2"/>
      <c r="E2" s="2"/>
      <c r="F2" s="2"/>
    </row>
    <row r="3" spans="1:6" ht="12.75" customHeight="1">
      <c r="A3" s="147" t="str">
        <f>'BM (2)'!A3</f>
        <v>OBRA: PAVIMENTAÇÃO EM CONCRETO DE VIAS URBANAS DO MUNICÍPIO DE TERRA SANTA</v>
      </c>
      <c r="B3" s="147"/>
      <c r="C3" s="147"/>
      <c r="D3" s="2"/>
      <c r="E3" s="2"/>
      <c r="F3" s="2"/>
    </row>
    <row r="4" spans="1:6" ht="12.75" customHeight="1">
      <c r="A4" s="147"/>
      <c r="B4" s="147"/>
      <c r="C4" s="147"/>
      <c r="D4" s="12"/>
      <c r="E4" s="12"/>
      <c r="F4" s="12"/>
    </row>
    <row r="5" spans="1:6" ht="12.75" customHeight="1">
      <c r="A5" s="147"/>
      <c r="B5" s="147"/>
      <c r="C5" s="147"/>
      <c r="D5" s="12"/>
      <c r="E5" s="12"/>
      <c r="F5" s="12"/>
    </row>
    <row r="6" spans="1:6" ht="12.75" customHeight="1">
      <c r="A6" s="6" t="s">
        <v>305</v>
      </c>
      <c r="B6" s="6"/>
      <c r="C6" s="6"/>
      <c r="D6" s="6"/>
      <c r="E6" s="6"/>
      <c r="F6" s="6"/>
    </row>
    <row r="7" spans="1:6" ht="12.75" customHeight="1">
      <c r="A7" s="6"/>
      <c r="B7" s="6"/>
      <c r="C7" s="6"/>
      <c r="D7" s="6"/>
      <c r="E7" s="6"/>
      <c r="F7" s="6"/>
    </row>
    <row r="8" spans="1:6" ht="12.75" customHeight="1">
      <c r="A8" s="28" t="str">
        <f>'BM (2)'!A13</f>
        <v>1.0</v>
      </c>
      <c r="B8" s="29" t="str">
        <f>'BM (2)'!B13</f>
        <v>SERVIÇOS PRELIMINARES</v>
      </c>
      <c r="C8" s="29"/>
      <c r="D8" s="29"/>
      <c r="E8" s="29"/>
      <c r="F8" s="29"/>
    </row>
    <row r="9" spans="1:6" ht="12.75" customHeight="1">
      <c r="A9" s="148"/>
      <c r="B9" s="148"/>
      <c r="C9" s="148"/>
      <c r="D9" s="148"/>
      <c r="E9" s="148"/>
      <c r="F9" s="148"/>
    </row>
    <row r="10" spans="1:6" ht="25.5" customHeight="1">
      <c r="A10" s="28" t="str">
        <f>'BM (2)'!A14</f>
        <v>1.1</v>
      </c>
      <c r="B10" s="149" t="str">
        <f>'BM (2)'!B14</f>
        <v>EXECUÇÃO DE ALMOXARIFADO EM CANTEIRO DE OBRA EM CHAPA DE MADEIRA COMPENSADA, INCLUSO PRATELEIRAS</v>
      </c>
      <c r="C10" s="150"/>
      <c r="D10" s="150"/>
      <c r="E10" s="151"/>
      <c r="F10" s="63"/>
    </row>
    <row r="11" spans="1:6" ht="12.75" customHeight="1">
      <c r="A11" s="30"/>
      <c r="B11" s="23" t="s">
        <v>306</v>
      </c>
      <c r="C11" s="28" t="s">
        <v>307</v>
      </c>
      <c r="D11" s="28" t="s">
        <v>308</v>
      </c>
      <c r="E11" s="28" t="s">
        <v>309</v>
      </c>
      <c r="F11" s="145"/>
    </row>
    <row r="12" spans="1:6" ht="12.75" customHeight="1">
      <c r="A12" s="30"/>
      <c r="B12" s="152" t="s">
        <v>310</v>
      </c>
      <c r="C12" s="153">
        <v>8</v>
      </c>
      <c r="D12" s="153">
        <v>3</v>
      </c>
      <c r="E12" s="154">
        <f>D12*C12</f>
        <v>24</v>
      </c>
      <c r="F12" s="148"/>
    </row>
    <row r="13" spans="1:6" ht="12.75" customHeight="1">
      <c r="A13" s="28"/>
      <c r="B13" s="155"/>
      <c r="C13" s="52"/>
      <c r="D13" s="53" t="s">
        <v>311</v>
      </c>
      <c r="E13" s="156">
        <f>E12</f>
        <v>24</v>
      </c>
      <c r="F13" s="63"/>
    </row>
    <row r="14" spans="1:6" ht="12.75" customHeight="1">
      <c r="A14" s="157"/>
      <c r="B14" s="148"/>
      <c r="C14" s="148"/>
      <c r="D14" s="148"/>
      <c r="E14" s="148"/>
      <c r="F14" s="148"/>
    </row>
    <row r="15" spans="1:6" ht="12.75" customHeight="1">
      <c r="A15" s="28" t="str">
        <f>'BM (2)'!A15</f>
        <v>1.2</v>
      </c>
      <c r="B15" s="29" t="str">
        <f>'BM (2)'!B15</f>
        <v>PLACA DE OBRA EM LONA COM PLOTAGEM DE GRÁFICA</v>
      </c>
      <c r="C15" s="29"/>
      <c r="D15" s="29"/>
      <c r="E15" s="29"/>
      <c r="F15" s="29"/>
    </row>
    <row r="16" spans="1:6" ht="12.75" customHeight="1">
      <c r="A16" s="30"/>
      <c r="B16" s="23" t="s">
        <v>306</v>
      </c>
      <c r="C16" s="28" t="s">
        <v>307</v>
      </c>
      <c r="D16" s="28" t="s">
        <v>308</v>
      </c>
      <c r="E16" s="28" t="s">
        <v>312</v>
      </c>
      <c r="F16" s="23" t="s">
        <v>309</v>
      </c>
    </row>
    <row r="17" spans="1:6" ht="12.75" customHeight="1">
      <c r="A17" s="30"/>
      <c r="B17" s="152" t="s">
        <v>313</v>
      </c>
      <c r="C17" s="153">
        <v>3</v>
      </c>
      <c r="D17" s="153">
        <v>2</v>
      </c>
      <c r="E17" s="158">
        <v>2</v>
      </c>
      <c r="F17" s="154">
        <f>E17*D17*C17</f>
        <v>12</v>
      </c>
    </row>
    <row r="18" spans="1:6" ht="12.75" customHeight="1">
      <c r="A18" s="28"/>
      <c r="B18" s="52"/>
      <c r="C18" s="52"/>
      <c r="D18" s="53"/>
      <c r="E18" s="53" t="s">
        <v>311</v>
      </c>
      <c r="F18" s="156">
        <f>F17</f>
        <v>12</v>
      </c>
    </row>
    <row r="19" spans="1:6" ht="12.75" customHeight="1">
      <c r="A19" s="6"/>
      <c r="B19" s="2"/>
      <c r="C19" s="2"/>
      <c r="D19" s="81"/>
      <c r="E19" s="81"/>
      <c r="F19" s="159"/>
    </row>
    <row r="20" spans="1:6" ht="12.75" customHeight="1">
      <c r="A20" s="28" t="str">
        <f>'BM (2)'!A16</f>
        <v>1.3</v>
      </c>
      <c r="B20" s="160" t="str">
        <f>'BM (2)'!B16</f>
        <v>LOCAÇÃO DE PAVIMENTAÇÃO</v>
      </c>
      <c r="C20" s="155"/>
      <c r="D20" s="81"/>
      <c r="E20" s="81"/>
      <c r="F20" s="159"/>
    </row>
    <row r="21" spans="1:6" ht="12.75" customHeight="1">
      <c r="A21" s="30"/>
      <c r="B21" s="23" t="s">
        <v>306</v>
      </c>
      <c r="C21" s="23" t="s">
        <v>309</v>
      </c>
      <c r="D21" s="81"/>
      <c r="E21" s="81"/>
      <c r="F21" s="159"/>
    </row>
    <row r="22" spans="1:6" ht="12.75" customHeight="1">
      <c r="A22" s="30"/>
      <c r="B22" s="152" t="s">
        <v>314</v>
      </c>
      <c r="C22" s="153">
        <f>'VIAS CONTEMPLADAS (2)'!D61</f>
        <v>16272</v>
      </c>
      <c r="D22" s="81"/>
      <c r="E22" s="81"/>
      <c r="F22" s="159"/>
    </row>
    <row r="23" spans="1:6" ht="12.75" customHeight="1">
      <c r="A23" s="28"/>
      <c r="B23" s="53" t="s">
        <v>311</v>
      </c>
      <c r="C23" s="161">
        <f>SUM(C22:C22)</f>
        <v>16272</v>
      </c>
      <c r="D23" s="81"/>
      <c r="E23" s="81"/>
      <c r="F23" s="159"/>
    </row>
    <row r="24" spans="1:6" ht="12.75" customHeight="1">
      <c r="A24" s="6"/>
      <c r="B24" s="81"/>
      <c r="C24" s="162"/>
      <c r="D24" s="81"/>
      <c r="E24" s="81"/>
      <c r="F24" s="159"/>
    </row>
    <row r="25" spans="1:6" ht="12.75" customHeight="1">
      <c r="A25" s="28" t="str">
        <f>'BM (2)'!A18</f>
        <v>2.0</v>
      </c>
      <c r="B25" s="29" t="str">
        <f>'BM (2)'!B18</f>
        <v>MOBILIZAÇÃO E DESMOBILIZAÇÃO</v>
      </c>
      <c r="C25" s="29"/>
      <c r="D25" s="29"/>
      <c r="E25" s="29"/>
      <c r="F25" s="29"/>
    </row>
    <row r="26" spans="1:6" ht="12.75" customHeight="1">
      <c r="A26" s="6"/>
      <c r="B26" s="2"/>
      <c r="C26" s="2"/>
      <c r="D26" s="81"/>
      <c r="E26" s="159"/>
      <c r="F26" s="63"/>
    </row>
    <row r="27" spans="1:6" ht="12.75" customHeight="1">
      <c r="A27" s="28" t="str">
        <f>'BM (2)'!A19</f>
        <v>2.1</v>
      </c>
      <c r="B27" s="29" t="str">
        <f>'BM (2)'!B19</f>
        <v>MOBILIZAÇÃO</v>
      </c>
      <c r="C27" s="29"/>
      <c r="D27" s="81"/>
      <c r="E27" s="159"/>
      <c r="F27" s="63"/>
    </row>
    <row r="28" spans="1:6" ht="12.75" customHeight="1">
      <c r="A28" s="28"/>
      <c r="B28" s="23" t="s">
        <v>306</v>
      </c>
      <c r="C28" s="28" t="s">
        <v>309</v>
      </c>
      <c r="D28" s="81"/>
      <c r="E28" s="159"/>
      <c r="F28" s="63"/>
    </row>
    <row r="29" spans="1:6" ht="12.75" customHeight="1">
      <c r="A29" s="28"/>
      <c r="B29" s="152" t="s">
        <v>315</v>
      </c>
      <c r="C29" s="163">
        <v>1</v>
      </c>
      <c r="D29" s="81"/>
      <c r="E29" s="159"/>
      <c r="F29" s="63"/>
    </row>
    <row r="30" spans="1:6" ht="12.75" customHeight="1">
      <c r="A30" s="28"/>
      <c r="B30" s="53" t="s">
        <v>311</v>
      </c>
      <c r="C30" s="164">
        <f>C29</f>
        <v>1</v>
      </c>
      <c r="D30" s="81"/>
      <c r="E30" s="159"/>
      <c r="F30" s="63"/>
    </row>
    <row r="31" spans="1:6" ht="12.75" customHeight="1">
      <c r="A31" s="6"/>
      <c r="B31" s="81"/>
      <c r="C31" s="165"/>
      <c r="D31" s="81"/>
      <c r="E31" s="159"/>
      <c r="F31" s="63"/>
    </row>
    <row r="32" spans="1:6" ht="12.75" customHeight="1">
      <c r="A32" s="28" t="str">
        <f>'BM (2)'!A20</f>
        <v>2.2</v>
      </c>
      <c r="B32" s="29" t="str">
        <f>'BM (2)'!B20</f>
        <v>DESMOBILIZAÇÃO</v>
      </c>
      <c r="C32" s="29"/>
      <c r="D32" s="81"/>
      <c r="E32" s="159"/>
      <c r="F32" s="63"/>
    </row>
    <row r="33" spans="1:6" ht="12.75" customHeight="1">
      <c r="A33" s="28"/>
      <c r="B33" s="23" t="s">
        <v>306</v>
      </c>
      <c r="C33" s="28" t="s">
        <v>309</v>
      </c>
      <c r="D33" s="81"/>
      <c r="E33" s="159"/>
      <c r="F33" s="63"/>
    </row>
    <row r="34" spans="1:6" ht="12.75" customHeight="1">
      <c r="A34" s="28"/>
      <c r="B34" s="152" t="s">
        <v>316</v>
      </c>
      <c r="C34" s="163">
        <v>1</v>
      </c>
      <c r="D34" s="81"/>
      <c r="E34" s="159"/>
      <c r="F34" s="63"/>
    </row>
    <row r="35" spans="1:6" ht="12.75" customHeight="1">
      <c r="A35" s="28"/>
      <c r="B35" s="53" t="s">
        <v>311</v>
      </c>
      <c r="C35" s="164">
        <f>C34</f>
        <v>1</v>
      </c>
      <c r="D35" s="81"/>
      <c r="E35" s="159"/>
      <c r="F35" s="63"/>
    </row>
    <row r="36" spans="1:6" ht="12.75" customHeight="1">
      <c r="A36" s="6"/>
      <c r="B36" s="2"/>
      <c r="C36" s="2"/>
      <c r="D36" s="81"/>
      <c r="E36" s="81"/>
      <c r="F36" s="159"/>
    </row>
    <row r="37" spans="1:8" ht="12.75" customHeight="1">
      <c r="A37" s="28" t="str">
        <f>'BM (2)'!A22</f>
        <v>3.0</v>
      </c>
      <c r="B37" s="29" t="str">
        <f>'BM (2)'!B22</f>
        <v>ADMINISTRAÇÃO LOCAL</v>
      </c>
      <c r="C37" s="29"/>
      <c r="D37" s="29"/>
      <c r="E37" s="29"/>
      <c r="F37" s="29"/>
      <c r="H37" s="166"/>
    </row>
    <row r="38" spans="1:6" ht="12.75" customHeight="1">
      <c r="A38" s="6"/>
      <c r="B38" s="2"/>
      <c r="C38" s="2"/>
      <c r="D38" s="81"/>
      <c r="E38" s="159"/>
      <c r="F38" s="63"/>
    </row>
    <row r="39" spans="1:6" ht="12.75" customHeight="1">
      <c r="A39" s="28" t="str">
        <f>'BM (2)'!A23</f>
        <v>3.1</v>
      </c>
      <c r="B39" s="29" t="str">
        <f>'BM (2)'!B23</f>
        <v>EQUIPE TÉCNICA</v>
      </c>
      <c r="C39" s="29"/>
      <c r="D39" s="81"/>
      <c r="E39" s="159"/>
      <c r="F39" s="63"/>
    </row>
    <row r="40" spans="1:6" ht="12.75" customHeight="1">
      <c r="A40" s="28"/>
      <c r="B40" s="23" t="s">
        <v>306</v>
      </c>
      <c r="C40" s="23" t="s">
        <v>309</v>
      </c>
      <c r="D40" s="81"/>
      <c r="E40" s="159"/>
      <c r="F40" s="63"/>
    </row>
    <row r="41" spans="1:6" ht="12.75" customHeight="1">
      <c r="A41" s="28"/>
      <c r="B41" s="152" t="s">
        <v>317</v>
      </c>
      <c r="C41" s="163">
        <v>1</v>
      </c>
      <c r="D41" s="81"/>
      <c r="E41" s="159"/>
      <c r="F41" s="63"/>
    </row>
    <row r="42" spans="1:6" ht="12.75" customHeight="1">
      <c r="A42" s="28"/>
      <c r="B42" s="53" t="s">
        <v>311</v>
      </c>
      <c r="C42" s="164">
        <f>C41</f>
        <v>1</v>
      </c>
      <c r="D42" s="81"/>
      <c r="E42" s="159"/>
      <c r="F42" s="63"/>
    </row>
    <row r="43" spans="1:6" ht="12.75" customHeight="1">
      <c r="A43" s="6"/>
      <c r="B43" s="2"/>
      <c r="C43" s="2"/>
      <c r="D43" s="81"/>
      <c r="E43" s="159"/>
      <c r="F43" s="63"/>
    </row>
    <row r="44" spans="1:6" ht="12.75" customHeight="1">
      <c r="A44" s="28" t="str">
        <f>'BM (2)'!A25</f>
        <v>4.0</v>
      </c>
      <c r="B44" s="29" t="str">
        <f>'BM (2)'!B25</f>
        <v>PAVIMENTAÇÃO</v>
      </c>
      <c r="C44" s="29"/>
      <c r="D44" s="29"/>
      <c r="E44" s="29"/>
      <c r="F44" s="29"/>
    </row>
    <row r="45" spans="1:6" ht="12.75" customHeight="1">
      <c r="A45" s="6"/>
      <c r="B45" s="2"/>
      <c r="C45" s="2"/>
      <c r="D45" s="81"/>
      <c r="E45" s="159"/>
      <c r="F45" s="148"/>
    </row>
    <row r="46" spans="1:6" ht="25.5" customHeight="1">
      <c r="A46" s="28" t="str">
        <f>'BM (2)'!A26</f>
        <v>4.1</v>
      </c>
      <c r="B46" s="149" t="str">
        <f>'BM (2)'!B26</f>
        <v>PISO EM CONCRETO COM CONCRETO MOLDADO IN LOCO, FEITO EM OBRA, ACABAMENTO CONVENCIONAL, NÃO ARMADO</v>
      </c>
      <c r="C46" s="150"/>
      <c r="D46" s="150"/>
      <c r="E46" s="150"/>
      <c r="F46" s="151"/>
    </row>
    <row r="47" spans="1:6" ht="12.75" customHeight="1">
      <c r="A47" s="28"/>
      <c r="B47" s="167" t="s">
        <v>306</v>
      </c>
      <c r="C47" s="28" t="s">
        <v>307</v>
      </c>
      <c r="D47" s="28" t="s">
        <v>308</v>
      </c>
      <c r="E47" s="28" t="s">
        <v>318</v>
      </c>
      <c r="F47" s="23" t="s">
        <v>309</v>
      </c>
    </row>
    <row r="48" spans="1:6" ht="12.75" customHeight="1">
      <c r="A48" s="28"/>
      <c r="B48" s="152" t="s">
        <v>314</v>
      </c>
      <c r="C48" s="153">
        <f>'VIAS CONTEMPLADAS (2)'!D61-C49</f>
        <v>15072</v>
      </c>
      <c r="D48" s="153">
        <v>7</v>
      </c>
      <c r="E48" s="153">
        <v>0.08</v>
      </c>
      <c r="F48" s="168">
        <f>D48*C48*E48</f>
        <v>8440.32</v>
      </c>
    </row>
    <row r="49" spans="1:6" ht="12.75" customHeight="1">
      <c r="A49" s="28"/>
      <c r="B49" s="152" t="str">
        <f>'VIAS CONTEMPLADAS (2)'!B59</f>
        <v>Estrada Maria Lopes</v>
      </c>
      <c r="C49" s="153">
        <f>'VIAS CONTEMPLADAS (2)'!D59</f>
        <v>1200</v>
      </c>
      <c r="D49" s="153">
        <v>8</v>
      </c>
      <c r="E49" s="153">
        <v>0.08</v>
      </c>
      <c r="F49" s="168">
        <f>D49*C49*E49</f>
        <v>768</v>
      </c>
    </row>
    <row r="50" spans="1:6" ht="12.75" customHeight="1">
      <c r="A50" s="28"/>
      <c r="B50" s="52"/>
      <c r="C50" s="52"/>
      <c r="D50" s="153"/>
      <c r="E50" s="169" t="s">
        <v>311</v>
      </c>
      <c r="F50" s="170">
        <f>F48+F49</f>
        <v>9208.32</v>
      </c>
    </row>
    <row r="51" spans="1:6" ht="12.75" customHeight="1">
      <c r="A51" s="6"/>
      <c r="B51" s="171"/>
      <c r="C51" s="2"/>
      <c r="D51" s="81"/>
      <c r="E51" s="159"/>
      <c r="F51" s="148"/>
    </row>
    <row r="52" spans="1:6" ht="12.75" customHeight="1">
      <c r="A52" s="28" t="str">
        <f>'BM (2)'!A27</f>
        <v>4.2</v>
      </c>
      <c r="B52" s="39" t="str">
        <f>'BM (2)'!B27</f>
        <v>MEIO-FIO EM CONCRETO NAS DIMENSÕES 0,30M x 0,12M SEM LÂMINA D'ÁGUA</v>
      </c>
      <c r="C52" s="39"/>
      <c r="D52" s="39"/>
      <c r="E52" s="39"/>
      <c r="F52" s="148"/>
    </row>
    <row r="53" spans="1:6" ht="12.75" customHeight="1">
      <c r="A53" s="28"/>
      <c r="B53" s="172" t="s">
        <v>306</v>
      </c>
      <c r="C53" s="28" t="s">
        <v>307</v>
      </c>
      <c r="D53" s="173" t="s">
        <v>319</v>
      </c>
      <c r="E53" s="23" t="s">
        <v>309</v>
      </c>
      <c r="F53" s="148"/>
    </row>
    <row r="54" spans="1:6" ht="12.75" customHeight="1">
      <c r="A54" s="28"/>
      <c r="B54" s="152" t="s">
        <v>314</v>
      </c>
      <c r="C54" s="153">
        <f>'VIAS CONTEMPLADAS (2)'!D61</f>
        <v>16272</v>
      </c>
      <c r="D54" s="174">
        <v>2</v>
      </c>
      <c r="E54" s="153">
        <f>C54*D54</f>
        <v>32544</v>
      </c>
      <c r="F54" s="148"/>
    </row>
    <row r="55" spans="1:6" ht="12.75" customHeight="1">
      <c r="A55" s="28"/>
      <c r="B55" s="169"/>
      <c r="C55" s="169"/>
      <c r="D55" s="169" t="s">
        <v>311</v>
      </c>
      <c r="E55" s="161">
        <f>SUM(E54:E54)</f>
        <v>32544</v>
      </c>
      <c r="F55" s="148"/>
    </row>
    <row r="56" spans="1:1" ht="12.75" customHeight="1">
      <c r="A56" s="145"/>
    </row>
    <row r="57" spans="1:1" ht="12.75" customHeight="1">
      <c r="A57" s="145"/>
    </row>
    <row r="58" spans="1:1" ht="12.75" customHeight="1">
      <c r="A58" s="145"/>
    </row>
    <row r="59" spans="1:1" ht="12.75" customHeight="1">
      <c r="A59" s="145"/>
    </row>
    <row r="60" spans="1:1" ht="12.75" customHeight="1">
      <c r="A60" s="92"/>
    </row>
    <row r="61" spans="1:1" ht="12.75" customHeight="1">
      <c r="A61" s="103" t="s">
        <v>206</v>
      </c>
    </row>
    <row r="62" spans="1:1" ht="12.75" customHeight="1">
      <c r="A62" s="103" t="s">
        <v>207</v>
      </c>
    </row>
    <row r="63" spans="1:1" ht="12.75" customHeight="1">
      <c r="A63" s="103" t="s">
        <v>208</v>
      </c>
    </row>
  </sheetData>
  <mergeCells count="13">
    <mergeCell ref="A3:C4"/>
    <mergeCell ref="B52:E52"/>
    <mergeCell ref="B46:F46"/>
    <mergeCell ref="B44:F44"/>
    <mergeCell ref="B10:E10"/>
    <mergeCell ref="B15:F15"/>
    <mergeCell ref="B8:F8"/>
    <mergeCell ref="B37:F37"/>
    <mergeCell ref="A6:F6"/>
    <mergeCell ref="B25:F25"/>
    <mergeCell ref="B39:C39"/>
    <mergeCell ref="B27:C27"/>
    <mergeCell ref="B32:C32"/>
  </mergeCells>
  <printOptions horizontalCentered="1"/>
  <pageMargins left="0.31496062992125984" right="0.31496062992125984" top="0.5905511811023623" bottom="0.5905511811023623" header="0.31496062992125984" footer="0.31496062992125984"/>
  <pageSetup horizontalDpi="360" verticalDpi="360" orientation="portrait" paperSize="9" scale="91" r:id="rId2"/>
  <headerFooter>
    <oddFooter>&amp;CPágina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da53687-05b7-4982-8914-abcfd8301b7c}">
  <sheetPr>
    <pageSetUpPr fitToPage="1"/>
  </sheetPr>
  <dimension ref="A1:X29"/>
  <sheetViews>
    <sheetView view="pageBreakPreview" zoomScale="85" zoomScaleNormal="100" zoomScaleSheetLayoutView="85" workbookViewId="0" topLeftCell="A1">
      <selection pane="topLeft" activeCell="M26" sqref="M26"/>
    </sheetView>
  </sheetViews>
  <sheetFormatPr defaultColWidth="24.184285714285714" defaultRowHeight="12.75" customHeight="1"/>
  <cols>
    <col min="1" max="1" width="8" style="175" customWidth="1"/>
    <col min="2" max="2" width="27.857142857142858" style="175" bestFit="1" customWidth="1"/>
    <col min="3" max="3" width="15.714285714285714" style="175" bestFit="1" customWidth="1"/>
    <col min="4" max="4" width="13.714285714285714" style="175" bestFit="1" customWidth="1"/>
    <col min="5" max="5" width="14.428571428571429" style="175" bestFit="1" customWidth="1"/>
    <col min="6" max="20" width="15.285714285714286" style="175" bestFit="1" customWidth="1"/>
    <col min="21" max="21" width="15.714285714285714" style="175" bestFit="1" customWidth="1"/>
    <col min="22" max="22" width="7.571428571428571" style="175" bestFit="1" customWidth="1"/>
    <col min="23" max="139" width="9.142857142857142" style="175" customWidth="1"/>
    <col min="140" max="16384" width="24.142857142857142" style="175"/>
  </cols>
  <sheetData>
    <row r="1" spans="1:24" ht="12.75" customHeight="1">
      <c r="A1" s="63" t="str">
        <f>'BM (2)'!A1</f>
        <v>ESTADO DO PARÁ</v>
      </c>
      <c r="B1" s="63"/>
      <c r="C1" s="63"/>
      <c r="D1" s="176"/>
      <c r="E1" s="177"/>
      <c r="F1" s="177"/>
      <c r="G1" s="178"/>
      <c r="H1" s="17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79"/>
      <c r="X1" s="179"/>
    </row>
    <row r="2" spans="1:24" ht="12.75" customHeight="1">
      <c r="A2" s="63" t="str">
        <f>'BM (2)'!A2</f>
        <v>PREFEITURA MUNICIPAL DE TERRA SANTA</v>
      </c>
      <c r="B2" s="2"/>
      <c r="C2" s="2"/>
      <c r="D2" s="2"/>
      <c r="E2" s="2"/>
      <c r="F2" s="2"/>
      <c r="G2" s="7"/>
      <c r="H2" s="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79"/>
      <c r="X2" s="179"/>
    </row>
    <row r="3" spans="1:24" ht="12.75" customHeight="1">
      <c r="A3" s="63" t="str">
        <f>'BM (2)'!A3</f>
        <v>OBRA: PAVIMENTAÇÃO EM CONCRETO DE VIAS URBANAS DO MUNICÍPIO DE TERRA SANTA</v>
      </c>
      <c r="B3" s="2"/>
      <c r="C3" s="2"/>
      <c r="D3" s="2"/>
      <c r="E3" s="2"/>
      <c r="F3" s="2"/>
      <c r="G3" s="7"/>
      <c r="H3" s="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79"/>
      <c r="X3" s="179"/>
    </row>
    <row r="4" spans="1:24" ht="12.75" customHeight="1">
      <c r="A4" s="2" t="str">
        <f>'BM (2)'!A7</f>
        <v>CONTRATO: 49/2023</v>
      </c>
      <c r="B4" s="12"/>
      <c r="C4" s="12"/>
      <c r="D4" s="12"/>
      <c r="E4" s="12"/>
      <c r="F4" s="12"/>
      <c r="G4" s="8"/>
      <c r="H4" s="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79"/>
      <c r="X4" s="179"/>
    </row>
    <row r="5" spans="1:24" ht="12.75" customHeight="1">
      <c r="A5" s="2"/>
      <c r="B5" s="12"/>
      <c r="C5" s="12"/>
      <c r="D5" s="12"/>
      <c r="E5" s="12"/>
      <c r="F5" s="12"/>
      <c r="G5" s="8"/>
      <c r="H5" s="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79"/>
      <c r="X5" s="179"/>
    </row>
    <row r="6" spans="1:24" ht="12.75" customHeight="1">
      <c r="A6" s="180" t="s">
        <v>320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79"/>
      <c r="X6" s="179"/>
    </row>
    <row r="7" spans="1:24" ht="12.75" customHeight="1">
      <c r="A7" s="176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79"/>
      <c r="X7" s="179"/>
    </row>
    <row r="8" spans="1:24" ht="12.75" customHeight="1">
      <c r="A8" s="28" t="s">
        <v>9</v>
      </c>
      <c r="B8" s="28" t="s">
        <v>10</v>
      </c>
      <c r="C8" s="28" t="s">
        <v>14</v>
      </c>
      <c r="D8" s="181" t="s">
        <v>321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/>
      <c r="V8" s="28" t="s">
        <v>322</v>
      </c>
      <c r="W8" s="179"/>
      <c r="X8" s="179"/>
    </row>
    <row r="9" spans="1:24" ht="12.75" customHeight="1">
      <c r="A9" s="28"/>
      <c r="B9" s="28"/>
      <c r="C9" s="28"/>
      <c r="D9" s="184">
        <v>30</v>
      </c>
      <c r="E9" s="184">
        <v>60</v>
      </c>
      <c r="F9" s="184">
        <v>90</v>
      </c>
      <c r="G9" s="184">
        <v>120</v>
      </c>
      <c r="H9" s="184">
        <v>150</v>
      </c>
      <c r="I9" s="184">
        <v>180</v>
      </c>
      <c r="J9" s="184">
        <v>210</v>
      </c>
      <c r="K9" s="184">
        <v>240</v>
      </c>
      <c r="L9" s="184">
        <v>270</v>
      </c>
      <c r="M9" s="184">
        <v>300</v>
      </c>
      <c r="N9" s="184">
        <v>330</v>
      </c>
      <c r="O9" s="184">
        <v>360</v>
      </c>
      <c r="P9" s="184">
        <v>390</v>
      </c>
      <c r="Q9" s="184">
        <v>420</v>
      </c>
      <c r="R9" s="184">
        <v>450</v>
      </c>
      <c r="S9" s="184">
        <v>480</v>
      </c>
      <c r="T9" s="184">
        <v>510</v>
      </c>
      <c r="U9" s="184">
        <v>540</v>
      </c>
      <c r="V9" s="28"/>
      <c r="W9" s="179"/>
      <c r="X9" s="179"/>
    </row>
    <row r="10" spans="1:24" ht="12.75" customHeight="1" thickBot="1">
      <c r="A10" s="185" t="str">
        <f>'BM (2)'!A13</f>
        <v>1.0</v>
      </c>
      <c r="B10" s="34" t="str">
        <f>'BM (2)'!B13</f>
        <v>SERVIÇOS PRELIMINARES</v>
      </c>
      <c r="C10" s="186">
        <f>'BM (2)'!F13</f>
        <v>39674.28</v>
      </c>
      <c r="D10" s="187">
        <v>1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9">
        <f>C10/$C$18</f>
        <v>0.0027000000000000001</v>
      </c>
      <c r="W10" s="179"/>
      <c r="X10" s="179"/>
    </row>
    <row r="11" spans="1:24" ht="12.75" customHeight="1" thickTop="1">
      <c r="A11" s="185"/>
      <c r="B11" s="34"/>
      <c r="C11" s="186"/>
      <c r="D11" s="190">
        <f>$C10*D10</f>
        <v>39674.28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89"/>
      <c r="W11" s="179"/>
      <c r="X11" s="179"/>
    </row>
    <row r="12" spans="1:24" ht="12.75" customHeight="1" thickBot="1">
      <c r="A12" s="185" t="str">
        <f>'BM (2)'!A18</f>
        <v>2.0</v>
      </c>
      <c r="B12" s="34" t="str">
        <f>'BM (2)'!B18</f>
        <v>MOBILIZAÇÃO E DESMOBILIZAÇÃO</v>
      </c>
      <c r="C12" s="186">
        <f>'BM (2)'!F18</f>
        <v>118981.26</v>
      </c>
      <c r="D12" s="192">
        <v>0.50</v>
      </c>
      <c r="E12" s="191"/>
      <c r="F12" s="191"/>
      <c r="G12" s="191"/>
      <c r="H12" s="191"/>
      <c r="I12" s="191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>
        <v>0.50</v>
      </c>
      <c r="V12" s="189">
        <f>C12/$C$18</f>
        <v>0.0082000000000000007</v>
      </c>
      <c r="W12" s="179"/>
      <c r="X12" s="179"/>
    </row>
    <row r="13" spans="1:24" ht="12.75" customHeight="1" thickTop="1">
      <c r="A13" s="185"/>
      <c r="B13" s="34"/>
      <c r="C13" s="186"/>
      <c r="D13" s="190">
        <f>$C12*D12</f>
        <v>59490.63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5">
        <f>$C12*U12</f>
        <v>59490.63</v>
      </c>
      <c r="V13" s="189"/>
      <c r="W13" s="179"/>
      <c r="X13" s="179"/>
    </row>
    <row r="14" spans="1:24" ht="12.75" customHeight="1" thickBot="1">
      <c r="A14" s="185" t="str">
        <f>'BM (2)'!A22</f>
        <v>3.0</v>
      </c>
      <c r="B14" s="34" t="str">
        <f>'BM (2)'!B22</f>
        <v>ADMINISTRAÇÃO LOCAL</v>
      </c>
      <c r="C14" s="186">
        <f>'BM (2)'!F22</f>
        <v>209348.82</v>
      </c>
      <c r="D14" s="192">
        <v>0.055399999999999998</v>
      </c>
      <c r="E14" s="194">
        <f>100%/18</f>
        <v>0.055599999999999997</v>
      </c>
      <c r="F14" s="194">
        <f t="shared" si="0" ref="F14:T16">100%/18</f>
        <v>0.055599999999999997</v>
      </c>
      <c r="G14" s="194">
        <f t="shared" si="0"/>
        <v>0.055599999999999997</v>
      </c>
      <c r="H14" s="194">
        <f t="shared" si="0"/>
        <v>0.055599999999999997</v>
      </c>
      <c r="I14" s="194">
        <f t="shared" si="0"/>
        <v>0.055599999999999997</v>
      </c>
      <c r="J14" s="194">
        <f t="shared" si="0"/>
        <v>0.055599999999999997</v>
      </c>
      <c r="K14" s="194">
        <f t="shared" si="0"/>
        <v>0.055599999999999997</v>
      </c>
      <c r="L14" s="194">
        <f t="shared" si="0"/>
        <v>0.055599999999999997</v>
      </c>
      <c r="M14" s="194">
        <f t="shared" si="0"/>
        <v>0.055599999999999997</v>
      </c>
      <c r="N14" s="194">
        <f t="shared" si="0"/>
        <v>0.055599999999999997</v>
      </c>
      <c r="O14" s="194">
        <f t="shared" si="0"/>
        <v>0.055599999999999997</v>
      </c>
      <c r="P14" s="194">
        <f t="shared" si="0"/>
        <v>0.055599999999999997</v>
      </c>
      <c r="Q14" s="194">
        <f t="shared" si="0"/>
        <v>0.055599999999999997</v>
      </c>
      <c r="R14" s="194">
        <f t="shared" si="0"/>
        <v>0.055599999999999997</v>
      </c>
      <c r="S14" s="194">
        <f t="shared" si="0"/>
        <v>0.055599999999999997</v>
      </c>
      <c r="T14" s="194">
        <f t="shared" si="0"/>
        <v>0.055599999999999997</v>
      </c>
      <c r="U14" s="194">
        <v>0.055</v>
      </c>
      <c r="V14" s="189">
        <f>C14/$C$18</f>
        <v>0.0144</v>
      </c>
      <c r="W14" s="179"/>
      <c r="X14" s="179"/>
    </row>
    <row r="15" spans="1:24" ht="12.75" customHeight="1" thickTop="1">
      <c r="A15" s="185"/>
      <c r="B15" s="34"/>
      <c r="C15" s="186"/>
      <c r="D15" s="190">
        <f>$C14*D14</f>
        <v>11597.92</v>
      </c>
      <c r="E15" s="195">
        <f>$C14*E14</f>
        <v>11639.79</v>
      </c>
      <c r="F15" s="195">
        <f t="shared" si="1" ref="F15:I15">$C14*F14</f>
        <v>11639.79</v>
      </c>
      <c r="G15" s="195">
        <f t="shared" si="1"/>
        <v>11639.79</v>
      </c>
      <c r="H15" s="195">
        <f t="shared" si="1"/>
        <v>11639.79</v>
      </c>
      <c r="I15" s="195">
        <f t="shared" si="1"/>
        <v>11639.79</v>
      </c>
      <c r="J15" s="195">
        <f t="shared" si="2" ref="J15">$C14*J14</f>
        <v>11639.79</v>
      </c>
      <c r="K15" s="195">
        <f t="shared" si="3" ref="K15">$C14*K14</f>
        <v>11639.79</v>
      </c>
      <c r="L15" s="195">
        <f t="shared" si="4" ref="L15">$C14*L14</f>
        <v>11639.79</v>
      </c>
      <c r="M15" s="195">
        <f t="shared" si="5" ref="M15">$C14*M14</f>
        <v>11639.79</v>
      </c>
      <c r="N15" s="195">
        <f t="shared" si="6" ref="N15">$C14*N14</f>
        <v>11639.79</v>
      </c>
      <c r="O15" s="195">
        <f t="shared" si="7" ref="O15">$C14*O14</f>
        <v>11639.79</v>
      </c>
      <c r="P15" s="195">
        <f t="shared" si="8" ref="P15">$C14*P14</f>
        <v>11639.79</v>
      </c>
      <c r="Q15" s="195">
        <f t="shared" si="9" ref="Q15">$C14*Q14</f>
        <v>11639.79</v>
      </c>
      <c r="R15" s="195">
        <f t="shared" si="10" ref="R15">$C14*R14</f>
        <v>11639.79</v>
      </c>
      <c r="S15" s="195">
        <f t="shared" si="11" ref="S15">$C14*S14</f>
        <v>11639.79</v>
      </c>
      <c r="T15" s="195">
        <f t="shared" si="12" ref="T15">$C14*T14</f>
        <v>11639.79</v>
      </c>
      <c r="U15" s="195">
        <f t="shared" si="13" ref="U15">$C14*U14</f>
        <v>11514.19</v>
      </c>
      <c r="V15" s="189"/>
      <c r="W15" s="179"/>
      <c r="X15" s="179"/>
    </row>
    <row r="16" spans="1:22" ht="12.75" customHeight="1" thickBot="1">
      <c r="A16" s="185" t="str">
        <f>'BM (2)'!A25</f>
        <v>4.0</v>
      </c>
      <c r="B16" s="196" t="str">
        <f>'BM (2)'!B25</f>
        <v>PAVIMENTAÇÃO</v>
      </c>
      <c r="C16" s="197">
        <f>'BM (2)'!F25</f>
        <v>14167240.449999999</v>
      </c>
      <c r="D16" s="192">
        <v>0.055399999999999998</v>
      </c>
      <c r="E16" s="194">
        <f>100%/18</f>
        <v>0.055599999999999997</v>
      </c>
      <c r="F16" s="194">
        <f t="shared" si="0"/>
        <v>0.055599999999999997</v>
      </c>
      <c r="G16" s="194">
        <f t="shared" si="0"/>
        <v>0.055599999999999997</v>
      </c>
      <c r="H16" s="194">
        <f t="shared" si="0"/>
        <v>0.055599999999999997</v>
      </c>
      <c r="I16" s="194">
        <f t="shared" si="0"/>
        <v>0.055599999999999997</v>
      </c>
      <c r="J16" s="194">
        <f t="shared" si="0"/>
        <v>0.055599999999999997</v>
      </c>
      <c r="K16" s="194">
        <f t="shared" si="0"/>
        <v>0.055599999999999997</v>
      </c>
      <c r="L16" s="194">
        <f t="shared" si="0"/>
        <v>0.055599999999999997</v>
      </c>
      <c r="M16" s="194">
        <f t="shared" si="0"/>
        <v>0.055599999999999997</v>
      </c>
      <c r="N16" s="194">
        <f t="shared" si="0"/>
        <v>0.055599999999999997</v>
      </c>
      <c r="O16" s="194">
        <f t="shared" si="0"/>
        <v>0.055599999999999997</v>
      </c>
      <c r="P16" s="194">
        <f t="shared" si="0"/>
        <v>0.055599999999999997</v>
      </c>
      <c r="Q16" s="194">
        <f t="shared" si="0"/>
        <v>0.055599999999999997</v>
      </c>
      <c r="R16" s="194">
        <f t="shared" si="0"/>
        <v>0.055599999999999997</v>
      </c>
      <c r="S16" s="194">
        <f t="shared" si="0"/>
        <v>0.055599999999999997</v>
      </c>
      <c r="T16" s="194">
        <f t="shared" si="0"/>
        <v>0.055599999999999997</v>
      </c>
      <c r="U16" s="194">
        <v>0.055</v>
      </c>
      <c r="V16" s="189">
        <f>C16/$C$18</f>
        <v>0.97470000000000001</v>
      </c>
    </row>
    <row r="17" spans="1:22" ht="12.75" customHeight="1" thickTop="1">
      <c r="A17" s="185"/>
      <c r="B17" s="198"/>
      <c r="C17" s="199"/>
      <c r="D17" s="190">
        <f>$C16*D16</f>
        <v>784865.12</v>
      </c>
      <c r="E17" s="195">
        <f>$C16*E16</f>
        <v>787698.57</v>
      </c>
      <c r="F17" s="195">
        <f t="shared" si="14" ref="F17">$C16*F16</f>
        <v>787698.57</v>
      </c>
      <c r="G17" s="195">
        <f t="shared" si="15" ref="G17">$C16*G16</f>
        <v>787698.57</v>
      </c>
      <c r="H17" s="195">
        <f t="shared" si="16" ref="H17">$C16*H16</f>
        <v>787698.57</v>
      </c>
      <c r="I17" s="195">
        <f t="shared" si="17" ref="I17">$C16*I16</f>
        <v>787698.57</v>
      </c>
      <c r="J17" s="195">
        <f t="shared" si="18" ref="J17">$C16*J16</f>
        <v>787698.57</v>
      </c>
      <c r="K17" s="195">
        <f t="shared" si="19" ref="K17">$C16*K16</f>
        <v>787698.57</v>
      </c>
      <c r="L17" s="195">
        <f t="shared" si="20" ref="L17">$C16*L16</f>
        <v>787698.57</v>
      </c>
      <c r="M17" s="195">
        <f t="shared" si="21" ref="M17">$C16*M16</f>
        <v>787698.57</v>
      </c>
      <c r="N17" s="195">
        <f t="shared" si="22" ref="N17">$C16*N16</f>
        <v>787698.57</v>
      </c>
      <c r="O17" s="195">
        <f t="shared" si="23" ref="O17">$C16*O16</f>
        <v>787698.57</v>
      </c>
      <c r="P17" s="195">
        <f t="shared" si="24" ref="P17">$C16*P16</f>
        <v>787698.57</v>
      </c>
      <c r="Q17" s="195">
        <f t="shared" si="25" ref="Q17">$C16*Q16</f>
        <v>787698.57</v>
      </c>
      <c r="R17" s="195">
        <f t="shared" si="26" ref="R17">$C16*R16</f>
        <v>787698.57</v>
      </c>
      <c r="S17" s="195">
        <f t="shared" si="27" ref="S17">$C16*S16</f>
        <v>787698.57</v>
      </c>
      <c r="T17" s="195">
        <f t="shared" si="28" ref="T17">$C16*T16</f>
        <v>787698.57</v>
      </c>
      <c r="U17" s="195">
        <f>$C16*U16-0.06</f>
        <v>779198.16</v>
      </c>
      <c r="V17" s="189"/>
    </row>
    <row r="18" spans="1:22" ht="12.75" customHeight="1">
      <c r="A18" s="200"/>
      <c r="B18" s="201" t="s">
        <v>323</v>
      </c>
      <c r="C18" s="202">
        <f>SUM(C10:C17)</f>
        <v>14535244.810000001</v>
      </c>
      <c r="D18" s="203">
        <f t="shared" si="29" ref="D18:I18">SUM(D11,D13,D15,D17)</f>
        <v>895627.95</v>
      </c>
      <c r="E18" s="203">
        <f t="shared" si="29"/>
        <v>799338.36</v>
      </c>
      <c r="F18" s="203">
        <f t="shared" si="29"/>
        <v>799338.36</v>
      </c>
      <c r="G18" s="203">
        <f t="shared" si="29"/>
        <v>799338.36</v>
      </c>
      <c r="H18" s="203">
        <f t="shared" si="29"/>
        <v>799338.36</v>
      </c>
      <c r="I18" s="203">
        <f t="shared" si="29"/>
        <v>799338.36</v>
      </c>
      <c r="J18" s="203">
        <f t="shared" si="30" ref="J18:U18">SUM(J11,J13,J15,J17)</f>
        <v>799338.36</v>
      </c>
      <c r="K18" s="203">
        <f t="shared" si="30"/>
        <v>799338.36</v>
      </c>
      <c r="L18" s="203">
        <f t="shared" si="30"/>
        <v>799338.36</v>
      </c>
      <c r="M18" s="203">
        <f t="shared" si="30"/>
        <v>799338.36</v>
      </c>
      <c r="N18" s="203">
        <f t="shared" si="30"/>
        <v>799338.36</v>
      </c>
      <c r="O18" s="203">
        <f t="shared" si="30"/>
        <v>799338.36</v>
      </c>
      <c r="P18" s="203">
        <f t="shared" si="30"/>
        <v>799338.36</v>
      </c>
      <c r="Q18" s="203">
        <f t="shared" si="30"/>
        <v>799338.36</v>
      </c>
      <c r="R18" s="203">
        <f t="shared" si="30"/>
        <v>799338.36</v>
      </c>
      <c r="S18" s="203">
        <f t="shared" si="30"/>
        <v>799338.36</v>
      </c>
      <c r="T18" s="203">
        <f t="shared" si="30"/>
        <v>799338.36</v>
      </c>
      <c r="U18" s="203">
        <f t="shared" si="30"/>
        <v>850202.98</v>
      </c>
      <c r="V18" s="204">
        <f>SUM(V10:V17)-0.01%</f>
        <v>1</v>
      </c>
    </row>
    <row r="19" spans="1:22" ht="12.75" customHeight="1">
      <c r="A19" s="205"/>
      <c r="B19" s="206" t="s">
        <v>324</v>
      </c>
      <c r="C19" s="207"/>
      <c r="D19" s="208">
        <f>D18/$C$18</f>
        <v>0.061600000000000002</v>
      </c>
      <c r="E19" s="208">
        <f t="shared" si="31" ref="E19:H19">E18/$C$18</f>
        <v>0.055</v>
      </c>
      <c r="F19" s="208">
        <f t="shared" si="31"/>
        <v>0.055</v>
      </c>
      <c r="G19" s="208">
        <f t="shared" si="31"/>
        <v>0.055</v>
      </c>
      <c r="H19" s="208">
        <f t="shared" si="31"/>
        <v>0.055</v>
      </c>
      <c r="I19" s="208">
        <f>I18/$C$18</f>
        <v>0.055</v>
      </c>
      <c r="J19" s="208">
        <f t="shared" si="32" ref="J19:U19">J18/$C$18</f>
        <v>0.055</v>
      </c>
      <c r="K19" s="208">
        <f t="shared" si="32"/>
        <v>0.055</v>
      </c>
      <c r="L19" s="208">
        <f t="shared" si="32"/>
        <v>0.055</v>
      </c>
      <c r="M19" s="208">
        <f t="shared" si="32"/>
        <v>0.055</v>
      </c>
      <c r="N19" s="208">
        <f t="shared" si="32"/>
        <v>0.055</v>
      </c>
      <c r="O19" s="208">
        <f t="shared" si="32"/>
        <v>0.055</v>
      </c>
      <c r="P19" s="208">
        <f t="shared" si="32"/>
        <v>0.055</v>
      </c>
      <c r="Q19" s="208">
        <f t="shared" si="32"/>
        <v>0.055</v>
      </c>
      <c r="R19" s="208">
        <f t="shared" si="32"/>
        <v>0.055</v>
      </c>
      <c r="S19" s="208">
        <f t="shared" si="32"/>
        <v>0.055</v>
      </c>
      <c r="T19" s="208">
        <f t="shared" si="32"/>
        <v>0.055</v>
      </c>
      <c r="U19" s="208">
        <f t="shared" si="32"/>
        <v>0.058500000000000003</v>
      </c>
      <c r="V19" s="209"/>
    </row>
    <row r="20" spans="1:22" ht="12.75" customHeight="1">
      <c r="A20" s="200"/>
      <c r="B20" s="201" t="s">
        <v>325</v>
      </c>
      <c r="C20" s="210"/>
      <c r="D20" s="203">
        <f>D18</f>
        <v>895627.95</v>
      </c>
      <c r="E20" s="203">
        <f t="shared" si="33" ref="E20:H20">D20+E18</f>
        <v>1694966.31</v>
      </c>
      <c r="F20" s="203">
        <f t="shared" si="33"/>
        <v>2494304.67</v>
      </c>
      <c r="G20" s="203">
        <f t="shared" si="33"/>
        <v>3293643.03</v>
      </c>
      <c r="H20" s="203">
        <f t="shared" si="33"/>
        <v>4092981.39</v>
      </c>
      <c r="I20" s="203">
        <f>H20+I18</f>
        <v>4892319.75</v>
      </c>
      <c r="J20" s="203">
        <f t="shared" si="34" ref="J20:U20">I20+J18</f>
        <v>5691658.1100000003</v>
      </c>
      <c r="K20" s="203">
        <f t="shared" si="34"/>
        <v>6490996.4699999997</v>
      </c>
      <c r="L20" s="203">
        <f t="shared" si="34"/>
        <v>7290334.8300000001</v>
      </c>
      <c r="M20" s="203">
        <f t="shared" si="34"/>
        <v>8089673.1900000004</v>
      </c>
      <c r="N20" s="203">
        <f t="shared" si="34"/>
        <v>8889011.5500000007</v>
      </c>
      <c r="O20" s="203">
        <f t="shared" si="34"/>
        <v>9688349.9100000001</v>
      </c>
      <c r="P20" s="203">
        <f t="shared" si="34"/>
        <v>10487688.27</v>
      </c>
      <c r="Q20" s="203">
        <f t="shared" si="34"/>
        <v>11287026.630000001</v>
      </c>
      <c r="R20" s="203">
        <f t="shared" si="34"/>
        <v>12086364.99</v>
      </c>
      <c r="S20" s="203">
        <f t="shared" si="34"/>
        <v>12885703.35</v>
      </c>
      <c r="T20" s="203">
        <f t="shared" si="34"/>
        <v>13685041.710000001</v>
      </c>
      <c r="U20" s="202">
        <f t="shared" si="34"/>
        <v>14535244.689999999</v>
      </c>
      <c r="V20" s="200"/>
    </row>
    <row r="21" spans="1:22" ht="12.75" customHeight="1">
      <c r="A21" s="200"/>
      <c r="B21" s="201" t="s">
        <v>326</v>
      </c>
      <c r="C21" s="200"/>
      <c r="D21" s="211">
        <f>D19</f>
        <v>0.061600000000000002</v>
      </c>
      <c r="E21" s="211">
        <f>D21+E19</f>
        <v>0.1166</v>
      </c>
      <c r="F21" s="211">
        <f t="shared" si="35" ref="F21:H21">E21+F19</f>
        <v>0.1716</v>
      </c>
      <c r="G21" s="211">
        <f t="shared" si="35"/>
        <v>0.2266</v>
      </c>
      <c r="H21" s="211">
        <f t="shared" si="35"/>
        <v>0.28160000000000002</v>
      </c>
      <c r="I21" s="211">
        <f>H21+I19</f>
        <v>0.33660000000000001</v>
      </c>
      <c r="J21" s="211">
        <f t="shared" si="36" ref="J21:U21">I21+J19</f>
        <v>0.3916</v>
      </c>
      <c r="K21" s="211">
        <f t="shared" si="36"/>
        <v>0.4466</v>
      </c>
      <c r="L21" s="211">
        <f t="shared" si="36"/>
        <v>0.50160000000000005</v>
      </c>
      <c r="M21" s="211">
        <f t="shared" si="36"/>
        <v>0.55659999999999998</v>
      </c>
      <c r="N21" s="211">
        <f t="shared" si="36"/>
        <v>0.61160000000000003</v>
      </c>
      <c r="O21" s="211">
        <f t="shared" si="36"/>
        <v>0.66659999999999997</v>
      </c>
      <c r="P21" s="211">
        <f t="shared" si="36"/>
        <v>0.72160000000000002</v>
      </c>
      <c r="Q21" s="211">
        <f t="shared" si="36"/>
        <v>0.77659999999999996</v>
      </c>
      <c r="R21" s="211">
        <f t="shared" si="36"/>
        <v>0.83160000000000001</v>
      </c>
      <c r="S21" s="211">
        <f t="shared" si="36"/>
        <v>0.88660000000000005</v>
      </c>
      <c r="T21" s="211">
        <f t="shared" si="36"/>
        <v>0.94159999999999999</v>
      </c>
      <c r="U21" s="212">
        <f t="shared" si="36"/>
        <v>1.0001</v>
      </c>
      <c r="V21" s="200"/>
    </row>
    <row r="22" spans="1:22" ht="12.75" customHeight="1">
      <c r="A22" s="145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2" ht="12.75" customHeight="1">
      <c r="A23" s="145"/>
      <c r="B23" s="148"/>
      <c r="C23" s="213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</row>
    <row r="24" spans="1:22" ht="12.75" customHeight="1">
      <c r="A24" s="145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2" ht="12.75" customHeight="1">
      <c r="A25" s="145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2" ht="12.75" customHeight="1">
      <c r="A26" s="92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</row>
    <row r="27" spans="1:22" ht="12.75" customHeight="1">
      <c r="A27" s="103" t="s">
        <v>206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</row>
    <row r="28" spans="1:22" ht="12.75" customHeight="1">
      <c r="A28" s="103" t="s">
        <v>207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</row>
    <row r="29" spans="1:22" ht="12.75" customHeight="1">
      <c r="A29" s="103" t="s">
        <v>208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</row>
  </sheetData>
  <mergeCells count="22">
    <mergeCell ref="A6:V6"/>
    <mergeCell ref="A8:A9"/>
    <mergeCell ref="B8:B9"/>
    <mergeCell ref="C8:C9"/>
    <mergeCell ref="V8:V9"/>
    <mergeCell ref="D8:U8"/>
    <mergeCell ref="V16:V17"/>
    <mergeCell ref="A16:A17"/>
    <mergeCell ref="B16:B17"/>
    <mergeCell ref="C16:C17"/>
    <mergeCell ref="A10:A11"/>
    <mergeCell ref="B10:B11"/>
    <mergeCell ref="C10:C11"/>
    <mergeCell ref="V10:V11"/>
    <mergeCell ref="A14:A15"/>
    <mergeCell ref="B14:B15"/>
    <mergeCell ref="C14:C15"/>
    <mergeCell ref="V14:V15"/>
    <mergeCell ref="A12:A13"/>
    <mergeCell ref="B12:B13"/>
    <mergeCell ref="C12:C13"/>
    <mergeCell ref="V12:V13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8" scale="61" r:id="rId2"/>
  <headerFooter>
    <oddFooter>&amp;CPágina &amp;P de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379f100-e738-49cc-a252-1f555c08c56c}">
  <sheetPr>
    <pageSetUpPr fitToPage="1"/>
  </sheetPr>
  <dimension ref="A1:D43"/>
  <sheetViews>
    <sheetView view="pageBreakPreview" zoomScaleNormal="100" zoomScaleSheetLayoutView="100" workbookViewId="0" topLeftCell="A1">
      <selection pane="topLeft" activeCell="A7" sqref="A7"/>
    </sheetView>
  </sheetViews>
  <sheetFormatPr defaultColWidth="25.814285714285717" defaultRowHeight="13" customHeight="1"/>
  <cols>
    <col min="1" max="1" width="5.571428571428571" style="235" customWidth="1"/>
    <col min="2" max="2" width="35.142857142857146" style="92" customWidth="1"/>
    <col min="3" max="3" width="25.857142857142858" style="92"/>
    <col min="4" max="126" width="9.142857142857142" style="92" customWidth="1"/>
    <col min="127" max="16384" width="25.857142857142858" style="92"/>
  </cols>
  <sheetData>
    <row r="1" spans="1:3" ht="13">
      <c r="A1" s="2" t="str">
        <f>'BM (2)'!A1</f>
        <v>ESTADO DO PARÁ</v>
      </c>
      <c r="B1" s="2"/>
      <c r="C1" s="2"/>
    </row>
    <row r="2" spans="1:3" ht="13">
      <c r="A2" s="2" t="str">
        <f>'BM (2)'!A2</f>
        <v>PREFEITURA MUNICIPAL DE TERRA SANTA</v>
      </c>
      <c r="B2" s="2"/>
      <c r="C2" s="2"/>
    </row>
    <row r="3" spans="1:3" ht="13">
      <c r="A3" s="214" t="str">
        <f>'BM (2)'!A3</f>
        <v>OBRA: PAVIMENTAÇÃO EM CONCRETO DE VIAS URBANAS DO MUNICÍPIO DE TERRA SANTA</v>
      </c>
      <c r="B3" s="214"/>
      <c r="C3" s="171"/>
    </row>
    <row r="4" spans="1:3" ht="13">
      <c r="A4" s="214"/>
      <c r="B4" s="214"/>
      <c r="C4" s="215"/>
    </row>
    <row r="5" spans="1:3" ht="13">
      <c r="A5" s="214"/>
      <c r="B5" s="214"/>
      <c r="C5" s="215"/>
    </row>
    <row r="6" spans="1:3" ht="13">
      <c r="A6" s="216" t="s">
        <v>327</v>
      </c>
      <c r="B6" s="216"/>
      <c r="C6" s="216"/>
    </row>
    <row r="7" spans="1:3" ht="13">
      <c r="A7" s="217"/>
      <c r="B7" s="218"/>
      <c r="C7" s="218"/>
    </row>
    <row r="8" spans="1:3" ht="13">
      <c r="A8" s="219" t="s">
        <v>20</v>
      </c>
      <c r="B8" s="220" t="s">
        <v>328</v>
      </c>
      <c r="C8" s="221">
        <f>SUM(C9:C12)</f>
        <v>0.056399999999999999</v>
      </c>
    </row>
    <row r="9" spans="1:3" ht="13">
      <c r="A9" s="222" t="s">
        <v>22</v>
      </c>
      <c r="B9" s="223" t="s">
        <v>329</v>
      </c>
      <c r="C9" s="224">
        <v>0.037999999999999999</v>
      </c>
    </row>
    <row r="10" spans="1:3" ht="13">
      <c r="A10" s="222" t="s">
        <v>25</v>
      </c>
      <c r="B10" s="223" t="s">
        <v>330</v>
      </c>
      <c r="C10" s="224">
        <v>0.0032000000000000002</v>
      </c>
    </row>
    <row r="11" spans="1:3" ht="13">
      <c r="A11" s="222" t="s">
        <v>27</v>
      </c>
      <c r="B11" s="223" t="s">
        <v>331</v>
      </c>
      <c r="C11" s="224">
        <v>0.0050000000000000001</v>
      </c>
    </row>
    <row r="12" spans="1:3" ht="13">
      <c r="A12" s="222" t="s">
        <v>332</v>
      </c>
      <c r="B12" s="223" t="s">
        <v>333</v>
      </c>
      <c r="C12" s="224">
        <v>0.010200000000000001</v>
      </c>
    </row>
    <row r="13" spans="1:3" ht="13">
      <c r="A13" s="222"/>
      <c r="B13" s="223"/>
      <c r="C13" s="225"/>
    </row>
    <row r="14" spans="1:3" ht="13">
      <c r="A14" s="219" t="s">
        <v>30</v>
      </c>
      <c r="B14" s="220" t="s">
        <v>334</v>
      </c>
      <c r="C14" s="221">
        <f>SUM(C15:C18)</f>
        <v>0.086499999999999994</v>
      </c>
    </row>
    <row r="15" spans="1:3" ht="13">
      <c r="A15" s="222" t="s">
        <v>32</v>
      </c>
      <c r="B15" s="223" t="s">
        <v>335</v>
      </c>
      <c r="C15" s="224">
        <v>0.0064999999999999997</v>
      </c>
    </row>
    <row r="16" spans="1:4" ht="13">
      <c r="A16" s="222" t="s">
        <v>35</v>
      </c>
      <c r="B16" s="223" t="s">
        <v>336</v>
      </c>
      <c r="C16" s="224">
        <v>0.03</v>
      </c>
      <c r="D16" s="65"/>
    </row>
    <row r="17" spans="1:4" ht="13">
      <c r="A17" s="222" t="s">
        <v>337</v>
      </c>
      <c r="B17" s="223" t="s">
        <v>338</v>
      </c>
      <c r="C17" s="224">
        <v>0.05</v>
      </c>
      <c r="D17" s="65"/>
    </row>
    <row r="18" spans="1:4" ht="13">
      <c r="A18" s="222" t="s">
        <v>339</v>
      </c>
      <c r="B18" s="223" t="s">
        <v>340</v>
      </c>
      <c r="C18" s="224">
        <v>0</v>
      </c>
      <c r="D18" s="65"/>
    </row>
    <row r="19" spans="1:4" ht="13">
      <c r="A19" s="222"/>
      <c r="B19" s="223"/>
      <c r="C19" s="223"/>
      <c r="D19" s="65"/>
    </row>
    <row r="20" spans="1:4" ht="13">
      <c r="A20" s="219" t="s">
        <v>37</v>
      </c>
      <c r="B20" s="220" t="s">
        <v>341</v>
      </c>
      <c r="C20" s="221">
        <f>C21</f>
        <v>0.066400000000000001</v>
      </c>
      <c r="D20" s="65"/>
    </row>
    <row r="21" spans="1:4" ht="13">
      <c r="A21" s="222" t="s">
        <v>39</v>
      </c>
      <c r="B21" s="223" t="s">
        <v>342</v>
      </c>
      <c r="C21" s="224">
        <v>0.066400000000000001</v>
      </c>
      <c r="D21" s="12"/>
    </row>
    <row r="22" spans="1:4" ht="13">
      <c r="A22" s="222"/>
      <c r="B22" s="223"/>
      <c r="C22" s="224"/>
      <c r="D22" s="65"/>
    </row>
    <row r="23" spans="1:4" ht="13">
      <c r="A23" s="219" t="s">
        <v>41</v>
      </c>
      <c r="B23" s="226" t="s">
        <v>343</v>
      </c>
      <c r="C23" s="227">
        <f>(((1+C9+C10+C11)*(1+C12)*(1+C20))/(1-C14))-1</f>
        <v>0.23380000000000001</v>
      </c>
      <c r="D23" s="228"/>
    </row>
    <row r="24" spans="1:4" ht="13">
      <c r="A24" s="229"/>
      <c r="B24" s="230"/>
      <c r="C24" s="230"/>
      <c r="D24" s="65"/>
    </row>
    <row r="25" spans="1:4" ht="13">
      <c r="A25" s="231" t="s">
        <v>344</v>
      </c>
      <c r="B25" s="231"/>
      <c r="C25" s="231"/>
      <c r="D25" s="65"/>
    </row>
    <row r="26" spans="1:4" ht="13">
      <c r="A26" s="229"/>
      <c r="B26" s="230"/>
      <c r="C26" s="230"/>
      <c r="D26" s="65"/>
    </row>
    <row r="27" spans="1:4" ht="13">
      <c r="A27" s="229"/>
      <c r="B27" s="65"/>
      <c r="C27" s="230"/>
      <c r="D27" s="65"/>
    </row>
    <row r="28" spans="1:4" ht="13">
      <c r="A28" s="229"/>
      <c r="B28" s="230"/>
      <c r="C28" s="230"/>
      <c r="D28" s="65"/>
    </row>
    <row r="29" spans="1:4" ht="13">
      <c r="A29" s="232" t="s">
        <v>345</v>
      </c>
      <c r="B29" s="230"/>
      <c r="C29" s="230"/>
      <c r="D29" s="65"/>
    </row>
    <row r="30" spans="1:4" ht="13">
      <c r="A30" s="233" t="s">
        <v>346</v>
      </c>
      <c r="B30" s="230"/>
      <c r="C30" s="230"/>
      <c r="D30" s="65"/>
    </row>
    <row r="31" spans="1:4" ht="13">
      <c r="A31" s="233" t="s">
        <v>347</v>
      </c>
      <c r="B31" s="230"/>
      <c r="C31" s="230"/>
      <c r="D31" s="65"/>
    </row>
    <row r="32" spans="1:3" ht="13">
      <c r="A32" s="233" t="s">
        <v>348</v>
      </c>
      <c r="B32" s="230"/>
      <c r="C32" s="230"/>
    </row>
    <row r="33" spans="1:3" ht="13">
      <c r="A33" s="233" t="s">
        <v>349</v>
      </c>
      <c r="B33" s="230"/>
      <c r="C33" s="230"/>
    </row>
    <row r="34" spans="1:3" ht="13">
      <c r="A34" s="233" t="s">
        <v>350</v>
      </c>
      <c r="B34" s="234"/>
      <c r="C34" s="234"/>
    </row>
    <row r="35" spans="1:3" ht="13">
      <c r="A35" s="233" t="s">
        <v>351</v>
      </c>
      <c r="B35" s="65"/>
      <c r="C35" s="65"/>
    </row>
    <row r="36" spans="1:1" ht="13">
      <c r="A36" s="145"/>
    </row>
    <row r="37" spans="1:1" ht="13">
      <c r="A37" s="145"/>
    </row>
    <row r="38" spans="1:1" ht="13">
      <c r="A38" s="145"/>
    </row>
    <row r="39" spans="1:1" ht="13">
      <c r="A39" s="145"/>
    </row>
    <row r="40" spans="1:1" ht="13">
      <c r="A40" s="145"/>
    </row>
    <row r="41" spans="1:1" ht="13">
      <c r="A41" s="103" t="s">
        <v>206</v>
      </c>
    </row>
    <row r="42" spans="1:1" ht="13">
      <c r="A42" s="103" t="s">
        <v>207</v>
      </c>
    </row>
    <row r="43" spans="1:1" ht="13">
      <c r="A43" s="103" t="s">
        <v>208</v>
      </c>
    </row>
  </sheetData>
  <mergeCells count="3">
    <mergeCell ref="A25:C25"/>
    <mergeCell ref="A6:C6"/>
    <mergeCell ref="A3:B4"/>
  </mergeCells>
  <printOptions horizontalCentered="1"/>
  <pageMargins left="0.31496062992125984" right="0.31496062992125984" top="0.5905511811023623" bottom="0.5905511811023623" header="0.31496062992125984" footer="0.31496062992125984"/>
  <pageSetup horizontalDpi="360" verticalDpi="360" orientation="portrait" paperSize="9" r:id="rId2"/>
  <headerFooter>
    <oddFooter>&amp;CPágina &amp;P de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443ecff-1e8c-4d5d-9882-bd8e2c88e8a2}">
  <sheetPr>
    <pageSetUpPr fitToPage="1"/>
  </sheetPr>
  <dimension ref="A1:D51"/>
  <sheetViews>
    <sheetView view="pageBreakPreview" zoomScaleNormal="100" zoomScaleSheetLayoutView="100" workbookViewId="0" topLeftCell="A1">
      <selection pane="topLeft" activeCell="A7" sqref="A7"/>
    </sheetView>
  </sheetViews>
  <sheetFormatPr defaultColWidth="9.184285714285714" defaultRowHeight="12.75" customHeight="1"/>
  <cols>
    <col min="1" max="1" width="5.571428571428571" style="175" customWidth="1"/>
    <col min="2" max="2" width="29.857142857142858" style="175" customWidth="1"/>
    <col min="3" max="4" width="15.714285714285714" style="175" customWidth="1"/>
    <col min="5" max="16384" width="9.142857142857142" style="175"/>
  </cols>
  <sheetData>
    <row r="1" spans="1:4" ht="12.75" customHeight="1">
      <c r="A1" s="2" t="str">
        <f>'BM (2)'!A1</f>
        <v>ESTADO DO PARÁ</v>
      </c>
      <c r="B1" s="2"/>
      <c r="C1" s="2"/>
      <c r="D1" s="2"/>
    </row>
    <row r="2" spans="1:4" ht="12.75" customHeight="1">
      <c r="A2" s="2" t="str">
        <f>'BM (2)'!A2</f>
        <v>PREFEITURA MUNICIPAL DE TERRA SANTA</v>
      </c>
      <c r="B2" s="2"/>
      <c r="C2" s="2"/>
      <c r="D2" s="2"/>
    </row>
    <row r="3" spans="1:4" ht="12.75" customHeight="1">
      <c r="A3" s="214" t="str">
        <f>'BM (2)'!A3</f>
        <v>OBRA: PAVIMENTAÇÃO EM CONCRETO DE VIAS URBANAS DO MUNICÍPIO DE TERRA SANTA</v>
      </c>
      <c r="B3" s="214"/>
      <c r="C3" s="171"/>
      <c r="D3" s="171"/>
    </row>
    <row r="4" spans="1:4" ht="12.75" customHeight="1">
      <c r="A4" s="214"/>
      <c r="B4" s="214"/>
      <c r="C4" s="2"/>
      <c r="D4" s="2"/>
    </row>
    <row r="5" spans="1:4" ht="12.75" customHeight="1">
      <c r="A5" s="214"/>
      <c r="B5" s="214"/>
      <c r="C5" s="2"/>
      <c r="D5" s="2"/>
    </row>
    <row r="6" spans="1:4" ht="12.75" customHeight="1">
      <c r="A6" s="6" t="s">
        <v>352</v>
      </c>
      <c r="B6" s="6"/>
      <c r="C6" s="6"/>
      <c r="D6" s="6"/>
    </row>
    <row r="7" spans="1:4" ht="12.75" customHeight="1">
      <c r="A7" s="236"/>
      <c r="B7" s="236"/>
      <c r="C7" s="236"/>
      <c r="D7" s="236"/>
    </row>
    <row r="8" spans="1:4" ht="12.75" customHeight="1">
      <c r="A8" s="237" t="s">
        <v>169</v>
      </c>
      <c r="B8" s="238" t="s">
        <v>10</v>
      </c>
      <c r="C8" s="237" t="s">
        <v>353</v>
      </c>
      <c r="D8" s="239" t="s">
        <v>354</v>
      </c>
    </row>
    <row r="9" spans="1:4" ht="12.75" customHeight="1">
      <c r="A9" s="238" t="s">
        <v>355</v>
      </c>
      <c r="B9" s="240"/>
      <c r="C9" s="240"/>
      <c r="D9" s="241"/>
    </row>
    <row r="10" spans="1:4" ht="12.75" customHeight="1">
      <c r="A10" s="242" t="s">
        <v>356</v>
      </c>
      <c r="B10" s="243" t="s">
        <v>357</v>
      </c>
      <c r="C10" s="244">
        <v>0.20</v>
      </c>
      <c r="D10" s="244">
        <v>0.20</v>
      </c>
    </row>
    <row r="11" spans="1:4" ht="12.75" customHeight="1">
      <c r="A11" s="242" t="s">
        <v>358</v>
      </c>
      <c r="B11" s="243" t="s">
        <v>359</v>
      </c>
      <c r="C11" s="244">
        <v>0.014999999999999999</v>
      </c>
      <c r="D11" s="244">
        <v>0.014999999999999999</v>
      </c>
    </row>
    <row r="12" spans="1:4" ht="12.75" customHeight="1">
      <c r="A12" s="242" t="s">
        <v>360</v>
      </c>
      <c r="B12" s="243" t="s">
        <v>361</v>
      </c>
      <c r="C12" s="244">
        <v>0.01</v>
      </c>
      <c r="D12" s="244">
        <v>0.01</v>
      </c>
    </row>
    <row r="13" spans="1:4" ht="12.75" customHeight="1">
      <c r="A13" s="242" t="s">
        <v>362</v>
      </c>
      <c r="B13" s="243" t="s">
        <v>363</v>
      </c>
      <c r="C13" s="244">
        <v>0.002</v>
      </c>
      <c r="D13" s="244">
        <v>0.002</v>
      </c>
    </row>
    <row r="14" spans="1:4" ht="12.75" customHeight="1">
      <c r="A14" s="242" t="s">
        <v>364</v>
      </c>
      <c r="B14" s="243" t="s">
        <v>365</v>
      </c>
      <c r="C14" s="244">
        <v>0.0060000000000000001</v>
      </c>
      <c r="D14" s="244">
        <v>0.0060000000000000001</v>
      </c>
    </row>
    <row r="15" spans="1:4" ht="12.75" customHeight="1">
      <c r="A15" s="242" t="s">
        <v>366</v>
      </c>
      <c r="B15" s="243" t="s">
        <v>367</v>
      </c>
      <c r="C15" s="244">
        <v>0.025000000000000001</v>
      </c>
      <c r="D15" s="244">
        <v>0.025000000000000001</v>
      </c>
    </row>
    <row r="16" spans="1:4" ht="12.75" customHeight="1">
      <c r="A16" s="242" t="s">
        <v>368</v>
      </c>
      <c r="B16" s="243" t="s">
        <v>369</v>
      </c>
      <c r="C16" s="244">
        <v>0.03</v>
      </c>
      <c r="D16" s="244">
        <v>0.03</v>
      </c>
    </row>
    <row r="17" spans="1:4" ht="12.75" customHeight="1">
      <c r="A17" s="242" t="s">
        <v>370</v>
      </c>
      <c r="B17" s="243" t="s">
        <v>371</v>
      </c>
      <c r="C17" s="244">
        <v>0.08</v>
      </c>
      <c r="D17" s="244">
        <v>0.08</v>
      </c>
    </row>
    <row r="18" spans="1:4" ht="12.75" customHeight="1">
      <c r="A18" s="242" t="s">
        <v>372</v>
      </c>
      <c r="B18" s="243" t="s">
        <v>373</v>
      </c>
      <c r="C18" s="244">
        <v>0</v>
      </c>
      <c r="D18" s="244">
        <v>0</v>
      </c>
    </row>
    <row r="19" spans="1:4" ht="12.75" customHeight="1">
      <c r="A19" s="245" t="s">
        <v>374</v>
      </c>
      <c r="B19" s="246" t="s">
        <v>304</v>
      </c>
      <c r="C19" s="247">
        <f>SUM(C10:C18)</f>
        <v>0.36799999999999999</v>
      </c>
      <c r="D19" s="247">
        <f>SUM(D10:D18)</f>
        <v>0.36799999999999999</v>
      </c>
    </row>
    <row r="20" spans="1:4" ht="12.75" customHeight="1">
      <c r="A20" s="248" t="s">
        <v>375</v>
      </c>
      <c r="B20" s="249"/>
      <c r="C20" s="249"/>
      <c r="D20" s="250"/>
    </row>
    <row r="21" spans="1:4" ht="12.75" customHeight="1">
      <c r="A21" s="251" t="s">
        <v>376</v>
      </c>
      <c r="B21" s="252" t="s">
        <v>377</v>
      </c>
      <c r="C21" s="253">
        <v>0.1812</v>
      </c>
      <c r="D21" s="253" t="s">
        <v>378</v>
      </c>
    </row>
    <row r="22" spans="1:4" ht="12.75" customHeight="1">
      <c r="A22" s="242" t="s">
        <v>379</v>
      </c>
      <c r="B22" s="254" t="s">
        <v>380</v>
      </c>
      <c r="C22" s="244">
        <v>0.041500000000000002</v>
      </c>
      <c r="D22" s="244" t="s">
        <v>378</v>
      </c>
    </row>
    <row r="23" spans="1:4" ht="12.75" customHeight="1">
      <c r="A23" s="251" t="s">
        <v>381</v>
      </c>
      <c r="B23" s="254" t="s">
        <v>382</v>
      </c>
      <c r="C23" s="244">
        <v>0.0088000000000000005</v>
      </c>
      <c r="D23" s="244">
        <v>0.0066</v>
      </c>
    </row>
    <row r="24" spans="1:4" ht="12.75" customHeight="1">
      <c r="A24" s="242" t="s">
        <v>383</v>
      </c>
      <c r="B24" s="254" t="s">
        <v>384</v>
      </c>
      <c r="C24" s="244">
        <v>0.1116</v>
      </c>
      <c r="D24" s="244">
        <v>0.083299999999999999</v>
      </c>
    </row>
    <row r="25" spans="1:4" ht="12.75" customHeight="1">
      <c r="A25" s="251" t="s">
        <v>385</v>
      </c>
      <c r="B25" s="254" t="s">
        <v>386</v>
      </c>
      <c r="C25" s="244">
        <v>0.00069999999999999999</v>
      </c>
      <c r="D25" s="244">
        <v>0.00050000000000000001</v>
      </c>
    </row>
    <row r="26" spans="1:4" ht="12.75" customHeight="1">
      <c r="A26" s="242" t="s">
        <v>387</v>
      </c>
      <c r="B26" s="254" t="s">
        <v>388</v>
      </c>
      <c r="C26" s="244">
        <v>0.0074000000000000003</v>
      </c>
      <c r="D26" s="244">
        <v>0.0055999999999999999</v>
      </c>
    </row>
    <row r="27" spans="1:4" ht="12.75" customHeight="1">
      <c r="A27" s="251" t="s">
        <v>389</v>
      </c>
      <c r="B27" s="254" t="s">
        <v>390</v>
      </c>
      <c r="C27" s="244">
        <v>0.027300000000000001</v>
      </c>
      <c r="D27" s="244" t="s">
        <v>378</v>
      </c>
    </row>
    <row r="28" spans="1:4" ht="12.75" customHeight="1">
      <c r="A28" s="242" t="s">
        <v>391</v>
      </c>
      <c r="B28" s="254" t="s">
        <v>392</v>
      </c>
      <c r="C28" s="244">
        <v>0.0011000000000000001</v>
      </c>
      <c r="D28" s="244">
        <v>0.00080000000000000004</v>
      </c>
    </row>
    <row r="29" spans="1:4" ht="12.75" customHeight="1">
      <c r="A29" s="251" t="s">
        <v>393</v>
      </c>
      <c r="B29" s="254" t="s">
        <v>394</v>
      </c>
      <c r="C29" s="244">
        <v>0.12089999999999999</v>
      </c>
      <c r="D29" s="244">
        <v>0.090200000000000002</v>
      </c>
    </row>
    <row r="30" spans="1:4" ht="12.75" customHeight="1">
      <c r="A30" s="242" t="s">
        <v>395</v>
      </c>
      <c r="B30" s="254" t="s">
        <v>396</v>
      </c>
      <c r="C30" s="244">
        <v>0.00040000000000000002</v>
      </c>
      <c r="D30" s="244">
        <v>0.00029999999999999997</v>
      </c>
    </row>
    <row r="31" spans="1:4" ht="12.75" customHeight="1">
      <c r="A31" s="245" t="s">
        <v>397</v>
      </c>
      <c r="B31" s="255" t="s">
        <v>304</v>
      </c>
      <c r="C31" s="247">
        <f>SUM(C21:C30)</f>
        <v>0.50090000000000001</v>
      </c>
      <c r="D31" s="247">
        <f>SUM(D21:D30)</f>
        <v>0.18729999999999999</v>
      </c>
    </row>
    <row r="32" spans="1:4" ht="12.75" customHeight="1">
      <c r="A32" s="248" t="s">
        <v>398</v>
      </c>
      <c r="B32" s="249"/>
      <c r="C32" s="249"/>
      <c r="D32" s="250"/>
    </row>
    <row r="33" spans="1:4" ht="12.75" customHeight="1">
      <c r="A33" s="251" t="s">
        <v>399</v>
      </c>
      <c r="B33" s="252" t="s">
        <v>400</v>
      </c>
      <c r="C33" s="253">
        <v>0.057799999999999997</v>
      </c>
      <c r="D33" s="253">
        <v>0.043200000000000002</v>
      </c>
    </row>
    <row r="34" spans="1:4" ht="12.75" customHeight="1">
      <c r="A34" s="251" t="s">
        <v>401</v>
      </c>
      <c r="B34" s="252" t="s">
        <v>402</v>
      </c>
      <c r="C34" s="253">
        <v>0.0014</v>
      </c>
      <c r="D34" s="253">
        <v>0.001</v>
      </c>
    </row>
    <row r="35" spans="1:4" ht="12.75" customHeight="1">
      <c r="A35" s="251" t="s">
        <v>403</v>
      </c>
      <c r="B35" s="252" t="s">
        <v>404</v>
      </c>
      <c r="C35" s="253">
        <v>0.025000000000000001</v>
      </c>
      <c r="D35" s="253">
        <v>0.018700000000000001</v>
      </c>
    </row>
    <row r="36" spans="1:4" ht="12.75" customHeight="1">
      <c r="A36" s="251" t="s">
        <v>405</v>
      </c>
      <c r="B36" s="252" t="s">
        <v>406</v>
      </c>
      <c r="C36" s="253">
        <v>0.031099999999999999</v>
      </c>
      <c r="D36" s="253">
        <v>0.023199999999999998</v>
      </c>
    </row>
    <row r="37" spans="1:4" ht="12.75" customHeight="1">
      <c r="A37" s="251" t="s">
        <v>407</v>
      </c>
      <c r="B37" s="252" t="s">
        <v>408</v>
      </c>
      <c r="C37" s="253">
        <v>0.0048999999999999998</v>
      </c>
      <c r="D37" s="253">
        <v>0.0035999999999999999</v>
      </c>
    </row>
    <row r="38" spans="1:4" ht="12.75" customHeight="1">
      <c r="A38" s="237" t="s">
        <v>409</v>
      </c>
      <c r="B38" s="256" t="s">
        <v>304</v>
      </c>
      <c r="C38" s="239">
        <f>SUM(C33:C37)</f>
        <v>0.1202</v>
      </c>
      <c r="D38" s="239">
        <f>SUM(D33:D37)</f>
        <v>0.089700000000000002</v>
      </c>
    </row>
    <row r="39" spans="1:4" ht="12.75" customHeight="1">
      <c r="A39" s="238" t="s">
        <v>410</v>
      </c>
      <c r="B39" s="240"/>
      <c r="C39" s="240"/>
      <c r="D39" s="241"/>
    </row>
    <row r="40" spans="1:4" ht="12.75" customHeight="1">
      <c r="A40" s="251" t="s">
        <v>411</v>
      </c>
      <c r="B40" s="257" t="s">
        <v>412</v>
      </c>
      <c r="C40" s="253">
        <v>0.18429999999999999</v>
      </c>
      <c r="D40" s="253">
        <v>0.068900000000000003</v>
      </c>
    </row>
    <row r="41" spans="1:4" ht="12.75" customHeight="1">
      <c r="A41" s="251" t="s">
        <v>413</v>
      </c>
      <c r="B41" s="258" t="s">
        <v>414</v>
      </c>
      <c r="C41" s="253">
        <v>0.0051000000000000004</v>
      </c>
      <c r="D41" s="253">
        <v>0.0038</v>
      </c>
    </row>
    <row r="42" spans="1:4" ht="12.75" customHeight="1">
      <c r="A42" s="259" t="s">
        <v>415</v>
      </c>
      <c r="B42" s="260" t="s">
        <v>304</v>
      </c>
      <c r="C42" s="261">
        <f>SUM(C40:C41)</f>
        <v>0.18940000000000001</v>
      </c>
      <c r="D42" s="261">
        <f>SUM(D40:D41)</f>
        <v>0.072700000000000001</v>
      </c>
    </row>
    <row r="43" spans="1:4" ht="12.75" customHeight="1">
      <c r="A43" s="256" t="s">
        <v>416</v>
      </c>
      <c r="B43" s="262"/>
      <c r="C43" s="239">
        <f>C19+C31+C38+C42</f>
        <v>1.1785000000000001</v>
      </c>
      <c r="D43" s="239">
        <f>D19+D31+D38+D42</f>
        <v>0.7177</v>
      </c>
    </row>
    <row r="44" spans="1:4" ht="12.75" customHeight="1">
      <c r="A44" s="145"/>
      <c r="B44" s="230"/>
      <c r="C44" s="230"/>
      <c r="D44" s="230"/>
    </row>
    <row r="45" spans="1:4" ht="12.75" customHeight="1">
      <c r="A45" s="145"/>
      <c r="B45" s="263"/>
      <c r="C45" s="263"/>
      <c r="D45" s="263"/>
    </row>
    <row r="46" spans="1:1" ht="12.75" customHeight="1">
      <c r="A46" s="145"/>
    </row>
    <row r="47" spans="1:1" ht="12.75" customHeight="1">
      <c r="A47" s="145"/>
    </row>
    <row r="48" spans="1:1" ht="12.75" customHeight="1">
      <c r="A48" s="145"/>
    </row>
    <row r="49" spans="1:1" ht="12.75" customHeight="1">
      <c r="A49" s="103" t="s">
        <v>206</v>
      </c>
    </row>
    <row r="50" spans="1:1" ht="12.75" customHeight="1">
      <c r="A50" s="103" t="s">
        <v>207</v>
      </c>
    </row>
    <row r="51" spans="1:1" ht="12.75" customHeight="1">
      <c r="A51" s="103" t="s">
        <v>208</v>
      </c>
    </row>
  </sheetData>
  <mergeCells count="7">
    <mergeCell ref="A3:B4"/>
    <mergeCell ref="A43:B43"/>
    <mergeCell ref="A6:D6"/>
    <mergeCell ref="A9:D9"/>
    <mergeCell ref="A20:D20"/>
    <mergeCell ref="A32:D32"/>
    <mergeCell ref="A39:D39"/>
  </mergeCells>
  <printOptions horizontalCentered="1"/>
  <pageMargins left="0.31496062992125984" right="0.31496062992125984" top="0.5905511811023623" bottom="0.5905511811023623" header="0.31496062992125984" footer="0.31496062992125984"/>
  <pageSetup horizontalDpi="360" verticalDpi="360" orientation="portrait" paperSize="9" r:id="rId2"/>
  <headerFooter>
    <oddFooter>&amp;CPágina &amp;P de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07b4513-a35d-478a-9246-296f24488a11}">
  <dimension ref="A1:F77"/>
  <sheetViews>
    <sheetView view="pageBreakPreview" zoomScale="75" zoomScaleNormal="100" zoomScaleSheetLayoutView="75" workbookViewId="0" topLeftCell="A1">
      <selection pane="topLeft" activeCell="B7" sqref="B7"/>
    </sheetView>
  </sheetViews>
  <sheetFormatPr defaultRowHeight="12.5" customHeight="1"/>
  <cols>
    <col min="1" max="1" width="13.714285714285714" style="267" customWidth="1"/>
    <col min="2" max="2" width="42" style="267" customWidth="1"/>
    <col min="3" max="3" width="9.428571428571429" style="267" customWidth="1"/>
    <col min="4" max="4" width="11.714285714285714" style="267" customWidth="1"/>
    <col min="5" max="5" width="12.428571428571429" style="267" customWidth="1"/>
    <col min="6" max="6" width="11.428571428571429" style="267" customWidth="1"/>
    <col min="7" max="10" width="9.142857142857142" style="267" customWidth="1"/>
    <col min="11" max="11" width="33" style="267" customWidth="1"/>
    <col min="12" max="16384" width="9.142857142857142" style="267" customWidth="1"/>
  </cols>
  <sheetData>
    <row r="1" spans="1:6" ht="12.5">
      <c r="A1" s="268" t="s">
        <v>53</v>
      </c>
      <c r="B1" s="268"/>
      <c r="C1" s="268"/>
      <c r="D1" s="268"/>
      <c r="E1" s="268"/>
      <c r="F1" s="268"/>
    </row>
    <row r="2" spans="1:6" ht="12.5">
      <c r="A2" s="268"/>
      <c r="B2" s="268"/>
      <c r="C2" s="268"/>
      <c r="D2" s="268"/>
      <c r="E2" s="268"/>
      <c r="F2" s="268"/>
    </row>
    <row r="3" spans="1:6" ht="13.5" thickBot="1">
      <c r="A3" s="269"/>
      <c r="B3" s="270"/>
      <c r="C3" s="270"/>
      <c r="D3" s="270"/>
      <c r="E3" s="270"/>
      <c r="F3" s="271"/>
    </row>
    <row r="4" spans="1:6" ht="13.5" thickTop="1">
      <c r="A4" s="272" t="e">
        <f>#REF!</f>
        <v>#REF!</v>
      </c>
      <c r="B4" s="273" t="s">
        <v>418</v>
      </c>
      <c r="C4" s="273"/>
      <c r="D4" s="273" t="s">
        <v>419</v>
      </c>
      <c r="E4" s="273"/>
      <c r="F4" s="274"/>
    </row>
    <row r="5" spans="1:6" ht="12.5">
      <c r="A5" s="275" t="s">
        <v>169</v>
      </c>
      <c r="B5" s="276" t="s">
        <v>420</v>
      </c>
      <c r="C5" s="276" t="s">
        <v>421</v>
      </c>
      <c r="D5" s="276" t="s">
        <v>422</v>
      </c>
      <c r="E5" s="276" t="s">
        <v>423</v>
      </c>
      <c r="F5" s="277" t="s">
        <v>424</v>
      </c>
    </row>
    <row r="6" spans="1:6" ht="12.5">
      <c r="A6" s="278" t="s">
        <v>425</v>
      </c>
      <c r="B6" s="276" t="s">
        <v>426</v>
      </c>
      <c r="C6" s="276" t="s">
        <v>61</v>
      </c>
      <c r="D6" s="276">
        <v>0.50</v>
      </c>
      <c r="E6" s="279">
        <v>11</v>
      </c>
      <c r="F6" s="280">
        <f>D6*E6</f>
        <v>5.50</v>
      </c>
    </row>
    <row r="7" spans="1:6" ht="25">
      <c r="A7" s="281" t="s">
        <v>427</v>
      </c>
      <c r="B7" s="282" t="s">
        <v>428</v>
      </c>
      <c r="C7" s="276" t="s">
        <v>429</v>
      </c>
      <c r="D7" s="276">
        <v>1.05</v>
      </c>
      <c r="E7" s="279">
        <v>39.369999999999997</v>
      </c>
      <c r="F7" s="280">
        <f>D7*E7</f>
        <v>41.34</v>
      </c>
    </row>
    <row r="8" spans="1:6" ht="13">
      <c r="A8" s="283" t="s">
        <v>430</v>
      </c>
      <c r="B8" s="284"/>
      <c r="C8" s="284"/>
      <c r="D8" s="284"/>
      <c r="E8" s="284"/>
      <c r="F8" s="280">
        <f>SUM(F7:F7)</f>
        <v>41.34</v>
      </c>
    </row>
    <row r="9" spans="1:6" ht="13">
      <c r="A9" s="283" t="s">
        <v>431</v>
      </c>
      <c r="B9" s="284"/>
      <c r="C9" s="284"/>
      <c r="D9" s="284"/>
      <c r="E9" s="284"/>
      <c r="F9" s="280">
        <f>SUM(F6:F6)</f>
        <v>5.50</v>
      </c>
    </row>
    <row r="10" spans="1:6" ht="13.5" thickBot="1">
      <c r="A10" s="285" t="s">
        <v>304</v>
      </c>
      <c r="B10" s="286"/>
      <c r="C10" s="286"/>
      <c r="D10" s="286"/>
      <c r="E10" s="286"/>
      <c r="F10" s="287">
        <f>SUM(F8:F9)</f>
        <v>46.84</v>
      </c>
    </row>
    <row r="11" spans="1:6" ht="13.5" thickTop="1">
      <c r="A11" s="288"/>
      <c r="B11" s="288"/>
      <c r="C11" s="288"/>
      <c r="D11" s="288"/>
      <c r="E11" s="288"/>
      <c r="F11" s="289"/>
    </row>
    <row r="12" spans="1:6" ht="13.5" thickBot="1">
      <c r="A12" s="269"/>
      <c r="B12" s="270"/>
      <c r="C12" s="270"/>
      <c r="D12" s="270"/>
      <c r="E12" s="270"/>
      <c r="F12" s="271"/>
    </row>
    <row r="13" spans="1:6" ht="13.5" thickTop="1">
      <c r="A13" s="290" t="e">
        <f>#REF!</f>
        <v>#REF!</v>
      </c>
      <c r="B13" s="291" t="s">
        <v>432</v>
      </c>
      <c r="C13" s="291"/>
      <c r="D13" s="292" t="s">
        <v>419</v>
      </c>
      <c r="E13" s="292"/>
      <c r="F13" s="293"/>
    </row>
    <row r="14" spans="1:6" ht="12.5">
      <c r="A14" s="275" t="s">
        <v>169</v>
      </c>
      <c r="B14" s="276" t="s">
        <v>420</v>
      </c>
      <c r="C14" s="276" t="s">
        <v>421</v>
      </c>
      <c r="D14" s="276" t="s">
        <v>422</v>
      </c>
      <c r="E14" s="276" t="s">
        <v>423</v>
      </c>
      <c r="F14" s="277" t="s">
        <v>424</v>
      </c>
    </row>
    <row r="15" spans="1:6" ht="12.5">
      <c r="A15" s="278" t="s">
        <v>433</v>
      </c>
      <c r="B15" s="276" t="s">
        <v>434</v>
      </c>
      <c r="C15" s="276" t="s">
        <v>61</v>
      </c>
      <c r="D15" s="276">
        <v>0.08</v>
      </c>
      <c r="E15" s="276">
        <v>5.81</v>
      </c>
      <c r="F15" s="280">
        <f t="shared" si="0" ref="F15:F20">D15*E15</f>
        <v>0.46</v>
      </c>
    </row>
    <row r="16" spans="1:6" ht="12.5">
      <c r="A16" s="278" t="s">
        <v>435</v>
      </c>
      <c r="B16" s="276" t="s">
        <v>436</v>
      </c>
      <c r="C16" s="276" t="s">
        <v>61</v>
      </c>
      <c r="D16" s="279">
        <v>0.50</v>
      </c>
      <c r="E16" s="279">
        <v>8.17</v>
      </c>
      <c r="F16" s="280">
        <f t="shared" si="0"/>
        <v>4.09</v>
      </c>
    </row>
    <row r="17" spans="1:6" ht="12.5">
      <c r="A17" s="278" t="s">
        <v>437</v>
      </c>
      <c r="B17" s="276" t="s">
        <v>438</v>
      </c>
      <c r="C17" s="276" t="s">
        <v>439</v>
      </c>
      <c r="D17" s="276">
        <v>0.0045999999999999999</v>
      </c>
      <c r="E17" s="276">
        <v>40.51</v>
      </c>
      <c r="F17" s="280">
        <f t="shared" si="0"/>
        <v>0.19</v>
      </c>
    </row>
    <row r="18" spans="1:6" ht="12.5">
      <c r="A18" s="278" t="s">
        <v>440</v>
      </c>
      <c r="B18" s="276" t="s">
        <v>441</v>
      </c>
      <c r="C18" s="276" t="s">
        <v>156</v>
      </c>
      <c r="D18" s="276">
        <v>0.68</v>
      </c>
      <c r="E18" s="279">
        <v>0.86</v>
      </c>
      <c r="F18" s="280">
        <f t="shared" si="0"/>
        <v>0.57999999999999996</v>
      </c>
    </row>
    <row r="19" spans="1:6" ht="12.5">
      <c r="A19" s="278" t="s">
        <v>442</v>
      </c>
      <c r="B19" s="276" t="s">
        <v>443</v>
      </c>
      <c r="C19" s="276" t="s">
        <v>156</v>
      </c>
      <c r="D19" s="276">
        <v>0.20</v>
      </c>
      <c r="E19" s="279">
        <v>0.56999999999999995</v>
      </c>
      <c r="F19" s="280">
        <f t="shared" si="0"/>
        <v>0.11</v>
      </c>
    </row>
    <row r="20" spans="1:6" ht="12.5">
      <c r="A20" s="278" t="s">
        <v>444</v>
      </c>
      <c r="B20" s="294" t="s">
        <v>445</v>
      </c>
      <c r="C20" s="276" t="s">
        <v>446</v>
      </c>
      <c r="D20" s="279">
        <v>0.17</v>
      </c>
      <c r="E20" s="279">
        <v>136.13</v>
      </c>
      <c r="F20" s="280">
        <f t="shared" si="0"/>
        <v>23.14</v>
      </c>
    </row>
    <row r="21" spans="1:6" ht="13">
      <c r="A21" s="283" t="s">
        <v>430</v>
      </c>
      <c r="B21" s="284"/>
      <c r="C21" s="284"/>
      <c r="D21" s="284"/>
      <c r="E21" s="284"/>
      <c r="F21" s="280">
        <f>SUM(F17:F20)</f>
        <v>24.02</v>
      </c>
    </row>
    <row r="22" spans="1:6" ht="13">
      <c r="A22" s="283" t="s">
        <v>431</v>
      </c>
      <c r="B22" s="284"/>
      <c r="C22" s="284"/>
      <c r="D22" s="284"/>
      <c r="E22" s="284"/>
      <c r="F22" s="280">
        <f>F15+F16</f>
        <v>4.55</v>
      </c>
    </row>
    <row r="23" spans="1:6" ht="13.5" thickBot="1">
      <c r="A23" s="285" t="s">
        <v>304</v>
      </c>
      <c r="B23" s="286"/>
      <c r="C23" s="286"/>
      <c r="D23" s="286"/>
      <c r="E23" s="286"/>
      <c r="F23" s="287">
        <f>SUM(F21:F22)</f>
        <v>28.57</v>
      </c>
    </row>
    <row r="24" spans="1:6" ht="13.5" thickTop="1">
      <c r="A24" s="288"/>
      <c r="B24" s="288"/>
      <c r="C24" s="288"/>
      <c r="D24" s="288"/>
      <c r="E24" s="288"/>
      <c r="F24" s="289"/>
    </row>
    <row r="25" spans="1:6" ht="13.5" thickBot="1">
      <c r="A25" s="269"/>
      <c r="B25" s="270"/>
      <c r="C25" s="270"/>
      <c r="D25" s="270"/>
      <c r="E25" s="270"/>
      <c r="F25" s="271"/>
    </row>
    <row r="26" spans="1:6" ht="13.5" thickTop="1">
      <c r="A26" s="290" t="e">
        <f>#REF!</f>
        <v>#REF!</v>
      </c>
      <c r="B26" s="292" t="s">
        <v>447</v>
      </c>
      <c r="C26" s="292"/>
      <c r="D26" s="292" t="s">
        <v>448</v>
      </c>
      <c r="E26" s="292"/>
      <c r="F26" s="293"/>
    </row>
    <row r="27" spans="1:6" ht="12.5">
      <c r="A27" s="275" t="s">
        <v>169</v>
      </c>
      <c r="B27" s="276" t="s">
        <v>420</v>
      </c>
      <c r="C27" s="276" t="s">
        <v>421</v>
      </c>
      <c r="D27" s="276" t="s">
        <v>422</v>
      </c>
      <c r="E27" s="276" t="s">
        <v>423</v>
      </c>
      <c r="F27" s="277" t="s">
        <v>424</v>
      </c>
    </row>
    <row r="28" spans="1:6" ht="12.5">
      <c r="A28" s="278" t="s">
        <v>433</v>
      </c>
      <c r="B28" s="276" t="s">
        <v>434</v>
      </c>
      <c r="C28" s="276" t="s">
        <v>61</v>
      </c>
      <c r="D28" s="276">
        <v>0.04</v>
      </c>
      <c r="E28" s="279">
        <v>5.81</v>
      </c>
      <c r="F28" s="280">
        <f t="shared" si="1" ref="F28:F33">D28*E28</f>
        <v>0.23</v>
      </c>
    </row>
    <row r="29" spans="1:6" ht="12.5">
      <c r="A29" s="278" t="s">
        <v>435</v>
      </c>
      <c r="B29" s="276" t="s">
        <v>436</v>
      </c>
      <c r="C29" s="276" t="s">
        <v>61</v>
      </c>
      <c r="D29" s="279">
        <v>0.50</v>
      </c>
      <c r="E29" s="279">
        <v>8.17</v>
      </c>
      <c r="F29" s="280">
        <f t="shared" si="1"/>
        <v>4.09</v>
      </c>
    </row>
    <row r="30" spans="1:6" ht="12.5">
      <c r="A30" s="278" t="s">
        <v>437</v>
      </c>
      <c r="B30" s="276" t="s">
        <v>438</v>
      </c>
      <c r="C30" s="276" t="s">
        <v>439</v>
      </c>
      <c r="D30" s="276">
        <v>0.0045999999999999999</v>
      </c>
      <c r="E30" s="279">
        <v>40.51</v>
      </c>
      <c r="F30" s="280">
        <f t="shared" si="1"/>
        <v>0.19</v>
      </c>
    </row>
    <row r="31" spans="1:6" ht="12.5">
      <c r="A31" s="278" t="s">
        <v>440</v>
      </c>
      <c r="B31" s="276" t="s">
        <v>441</v>
      </c>
      <c r="C31" s="276" t="s">
        <v>156</v>
      </c>
      <c r="D31" s="276">
        <v>0.68</v>
      </c>
      <c r="E31" s="279">
        <v>0.86</v>
      </c>
      <c r="F31" s="280">
        <f t="shared" si="1"/>
        <v>0.57999999999999996</v>
      </c>
    </row>
    <row r="32" spans="1:6" ht="12.5">
      <c r="A32" s="278" t="s">
        <v>442</v>
      </c>
      <c r="B32" s="276" t="s">
        <v>443</v>
      </c>
      <c r="C32" s="276" t="s">
        <v>156</v>
      </c>
      <c r="D32" s="276">
        <v>0.20</v>
      </c>
      <c r="E32" s="279">
        <v>0.56999999999999995</v>
      </c>
      <c r="F32" s="280">
        <f t="shared" si="1"/>
        <v>0.11</v>
      </c>
    </row>
    <row r="33" spans="1:6" ht="12.5">
      <c r="A33" s="278" t="s">
        <v>444</v>
      </c>
      <c r="B33" s="294" t="s">
        <v>449</v>
      </c>
      <c r="C33" s="276" t="s">
        <v>446</v>
      </c>
      <c r="D33" s="279">
        <v>0.17</v>
      </c>
      <c r="E33" s="279">
        <v>136.13</v>
      </c>
      <c r="F33" s="280">
        <f t="shared" si="1"/>
        <v>23.14</v>
      </c>
    </row>
    <row r="34" spans="1:6" ht="13">
      <c r="A34" s="283" t="s">
        <v>430</v>
      </c>
      <c r="B34" s="284"/>
      <c r="C34" s="284"/>
      <c r="D34" s="284"/>
      <c r="E34" s="284"/>
      <c r="F34" s="280">
        <f>SUM(F30:F33)</f>
        <v>24.02</v>
      </c>
    </row>
    <row r="35" spans="1:6" ht="13">
      <c r="A35" s="283" t="s">
        <v>431</v>
      </c>
      <c r="B35" s="284"/>
      <c r="C35" s="284"/>
      <c r="D35" s="284"/>
      <c r="E35" s="284"/>
      <c r="F35" s="280">
        <f>SUM(F28:F29)</f>
        <v>4.32</v>
      </c>
    </row>
    <row r="36" spans="1:6" ht="13.5" thickBot="1">
      <c r="A36" s="285" t="s">
        <v>304</v>
      </c>
      <c r="B36" s="286"/>
      <c r="C36" s="286"/>
      <c r="D36" s="286"/>
      <c r="E36" s="286"/>
      <c r="F36" s="287">
        <f>SUM(F34:F35)</f>
        <v>28.34</v>
      </c>
    </row>
    <row r="37" spans="1:6" ht="13.5" thickTop="1">
      <c r="A37" s="288"/>
      <c r="B37" s="288"/>
      <c r="C37" s="288"/>
      <c r="D37" s="288"/>
      <c r="E37" s="288"/>
      <c r="F37" s="289"/>
    </row>
    <row r="38" spans="1:6" ht="13.5" thickBot="1">
      <c r="A38" s="295"/>
      <c r="B38" s="295"/>
      <c r="C38" s="295"/>
      <c r="D38" s="295"/>
      <c r="E38" s="295"/>
      <c r="F38" s="295"/>
    </row>
    <row r="39" spans="1:6" ht="13.5" thickTop="1">
      <c r="A39" s="296" t="s">
        <v>450</v>
      </c>
      <c r="B39" s="297" t="s">
        <v>451</v>
      </c>
      <c r="C39" s="298"/>
      <c r="D39" s="297" t="s">
        <v>452</v>
      </c>
      <c r="E39" s="299"/>
      <c r="F39" s="300"/>
    </row>
    <row r="40" spans="1:6" ht="12.5">
      <c r="A40" s="275" t="s">
        <v>169</v>
      </c>
      <c r="B40" s="276" t="s">
        <v>420</v>
      </c>
      <c r="C40" s="276" t="s">
        <v>421</v>
      </c>
      <c r="D40" s="276" t="s">
        <v>422</v>
      </c>
      <c r="E40" s="276" t="s">
        <v>423</v>
      </c>
      <c r="F40" s="277" t="s">
        <v>424</v>
      </c>
    </row>
    <row r="41" spans="1:6" ht="12.5">
      <c r="A41" s="278" t="s">
        <v>435</v>
      </c>
      <c r="B41" s="276" t="s">
        <v>436</v>
      </c>
      <c r="C41" s="276" t="s">
        <v>61</v>
      </c>
      <c r="D41" s="279">
        <v>1.50</v>
      </c>
      <c r="E41" s="279">
        <v>8.17</v>
      </c>
      <c r="F41" s="280">
        <f>D41*E41</f>
        <v>12.26</v>
      </c>
    </row>
    <row r="42" spans="1:6" ht="12.5">
      <c r="A42" s="278" t="s">
        <v>433</v>
      </c>
      <c r="B42" s="276" t="s">
        <v>434</v>
      </c>
      <c r="C42" s="276" t="s">
        <v>61</v>
      </c>
      <c r="D42" s="279">
        <v>2.50</v>
      </c>
      <c r="E42" s="279">
        <v>5.81</v>
      </c>
      <c r="F42" s="280">
        <f>D42*E42</f>
        <v>14.53</v>
      </c>
    </row>
    <row r="43" spans="1:6" ht="12.5">
      <c r="A43" s="278" t="s">
        <v>437</v>
      </c>
      <c r="B43" s="276" t="s">
        <v>438</v>
      </c>
      <c r="C43" s="276" t="s">
        <v>439</v>
      </c>
      <c r="D43" s="301">
        <v>0.0028999999999999998</v>
      </c>
      <c r="E43" s="279">
        <v>40.51</v>
      </c>
      <c r="F43" s="280">
        <f>D43*E43</f>
        <v>0.12</v>
      </c>
    </row>
    <row r="44" spans="1:6" ht="12.5">
      <c r="A44" s="278" t="s">
        <v>442</v>
      </c>
      <c r="B44" s="276" t="s">
        <v>443</v>
      </c>
      <c r="C44" s="276" t="s">
        <v>156</v>
      </c>
      <c r="D44" s="279">
        <v>1.17</v>
      </c>
      <c r="E44" s="279">
        <v>0.56999999999999995</v>
      </c>
      <c r="F44" s="280">
        <f>D44*E44</f>
        <v>0.67</v>
      </c>
    </row>
    <row r="45" spans="1:6" ht="25">
      <c r="A45" s="278" t="s">
        <v>453</v>
      </c>
      <c r="B45" s="294" t="s">
        <v>454</v>
      </c>
      <c r="C45" s="276" t="s">
        <v>455</v>
      </c>
      <c r="D45" s="279">
        <v>1</v>
      </c>
      <c r="E45" s="279">
        <v>315.44</v>
      </c>
      <c r="F45" s="280">
        <f>D45*E45</f>
        <v>315.44</v>
      </c>
    </row>
    <row r="46" spans="1:6" ht="13">
      <c r="A46" s="302" t="s">
        <v>430</v>
      </c>
      <c r="B46" s="303"/>
      <c r="C46" s="303"/>
      <c r="D46" s="303"/>
      <c r="E46" s="304"/>
      <c r="F46" s="280">
        <f>SUM(F43:F45)</f>
        <v>316.23</v>
      </c>
    </row>
    <row r="47" spans="1:6" ht="13">
      <c r="A47" s="302" t="s">
        <v>431</v>
      </c>
      <c r="B47" s="303"/>
      <c r="C47" s="303"/>
      <c r="D47" s="303"/>
      <c r="E47" s="304"/>
      <c r="F47" s="280">
        <f>SUM(F41:F42)</f>
        <v>26.79</v>
      </c>
    </row>
    <row r="48" spans="1:6" ht="13.5" thickBot="1">
      <c r="A48" s="305" t="s">
        <v>304</v>
      </c>
      <c r="B48" s="306"/>
      <c r="C48" s="306"/>
      <c r="D48" s="306"/>
      <c r="E48" s="306"/>
      <c r="F48" s="307">
        <f>SUM(F46:F47)</f>
        <v>343.02</v>
      </c>
    </row>
    <row r="49" spans="1:6" ht="13.5" thickTop="1">
      <c r="A49" s="308"/>
      <c r="B49" s="308"/>
      <c r="C49" s="308"/>
      <c r="D49" s="308"/>
      <c r="E49" s="308"/>
      <c r="F49" s="309"/>
    </row>
    <row r="50" spans="1:6" ht="13" thickBot="1">
      <c r="A50" s="310"/>
      <c r="B50" s="311"/>
      <c r="C50" s="311"/>
      <c r="D50" s="311"/>
      <c r="E50" s="311"/>
      <c r="F50" s="312"/>
    </row>
    <row r="51" spans="1:6" ht="13.5" thickTop="1">
      <c r="A51" s="313" t="s">
        <v>456</v>
      </c>
      <c r="B51" s="273" t="s">
        <v>457</v>
      </c>
      <c r="C51" s="273"/>
      <c r="D51" s="273" t="s">
        <v>458</v>
      </c>
      <c r="E51" s="273"/>
      <c r="F51" s="274"/>
    </row>
    <row r="52" spans="1:6" ht="12.5">
      <c r="A52" s="275" t="s">
        <v>169</v>
      </c>
      <c r="B52" s="276" t="s">
        <v>420</v>
      </c>
      <c r="C52" s="276" t="s">
        <v>421</v>
      </c>
      <c r="D52" s="276" t="s">
        <v>422</v>
      </c>
      <c r="E52" s="276" t="s">
        <v>423</v>
      </c>
      <c r="F52" s="277" t="s">
        <v>424</v>
      </c>
    </row>
    <row r="53" spans="1:6" ht="12.5">
      <c r="A53" s="278" t="s">
        <v>459</v>
      </c>
      <c r="B53" s="276" t="s">
        <v>460</v>
      </c>
      <c r="C53" s="276" t="s">
        <v>61</v>
      </c>
      <c r="D53" s="276">
        <v>0.14000000000000001</v>
      </c>
      <c r="E53" s="279">
        <v>6.37</v>
      </c>
      <c r="F53" s="280">
        <f>D53*E53</f>
        <v>0.89</v>
      </c>
    </row>
    <row r="54" spans="1:6" ht="12.5">
      <c r="A54" s="278" t="s">
        <v>461</v>
      </c>
      <c r="B54" s="276" t="s">
        <v>462</v>
      </c>
      <c r="C54" s="276" t="s">
        <v>61</v>
      </c>
      <c r="D54" s="276">
        <v>0.14000000000000001</v>
      </c>
      <c r="E54" s="279">
        <v>8.17</v>
      </c>
      <c r="F54" s="280">
        <f>D54*E54</f>
        <v>1.1399999999999999</v>
      </c>
    </row>
    <row r="55" spans="1:6" ht="12.5">
      <c r="A55" s="278" t="s">
        <v>463</v>
      </c>
      <c r="B55" s="294" t="s">
        <v>464</v>
      </c>
      <c r="C55" s="276" t="s">
        <v>465</v>
      </c>
      <c r="D55" s="276">
        <v>1.02</v>
      </c>
      <c r="E55" s="279">
        <v>3.39</v>
      </c>
      <c r="F55" s="280">
        <f>D55*E55</f>
        <v>3.46</v>
      </c>
    </row>
    <row r="56" spans="1:6" ht="13">
      <c r="A56" s="283" t="s">
        <v>430</v>
      </c>
      <c r="B56" s="284"/>
      <c r="C56" s="284"/>
      <c r="D56" s="284"/>
      <c r="E56" s="284"/>
      <c r="F56" s="280">
        <f>SUM(F55:F55)</f>
        <v>3.46</v>
      </c>
    </row>
    <row r="57" spans="1:6" ht="13">
      <c r="A57" s="283" t="s">
        <v>431</v>
      </c>
      <c r="B57" s="284"/>
      <c r="C57" s="284"/>
      <c r="D57" s="284"/>
      <c r="E57" s="284"/>
      <c r="F57" s="280">
        <f>SUM(F53:F54)</f>
        <v>2.0299999999999998</v>
      </c>
    </row>
    <row r="58" spans="1:6" ht="13.5" thickBot="1">
      <c r="A58" s="305" t="s">
        <v>304</v>
      </c>
      <c r="B58" s="306"/>
      <c r="C58" s="306"/>
      <c r="D58" s="306"/>
      <c r="E58" s="306"/>
      <c r="F58" s="307">
        <f>SUM(F56:F57)</f>
        <v>5.49</v>
      </c>
    </row>
    <row r="59" spans="1:6" ht="13.5" thickTop="1">
      <c r="A59" s="308"/>
      <c r="B59" s="308"/>
      <c r="C59" s="308"/>
      <c r="D59" s="308"/>
      <c r="E59" s="308"/>
      <c r="F59" s="309"/>
    </row>
    <row r="60" spans="1:6" ht="13.5" thickBot="1">
      <c r="A60" s="269"/>
      <c r="B60" s="270"/>
      <c r="C60" s="270"/>
      <c r="D60" s="270"/>
      <c r="E60" s="270"/>
      <c r="F60" s="271"/>
    </row>
    <row r="61" spans="1:6" ht="13.5" thickTop="1">
      <c r="A61" s="290" t="e">
        <f>#REF!</f>
        <v>#REF!</v>
      </c>
      <c r="B61" s="292" t="s">
        <v>466</v>
      </c>
      <c r="C61" s="292"/>
      <c r="D61" s="292" t="s">
        <v>467</v>
      </c>
      <c r="E61" s="292"/>
      <c r="F61" s="293"/>
    </row>
    <row r="62" spans="1:6" ht="12.5">
      <c r="A62" s="275" t="s">
        <v>169</v>
      </c>
      <c r="B62" s="276" t="s">
        <v>420</v>
      </c>
      <c r="C62" s="276" t="s">
        <v>421</v>
      </c>
      <c r="D62" s="276" t="s">
        <v>422</v>
      </c>
      <c r="E62" s="276" t="s">
        <v>423</v>
      </c>
      <c r="F62" s="277" t="s">
        <v>424</v>
      </c>
    </row>
    <row r="63" spans="1:6" ht="12.5">
      <c r="A63" s="278" t="s">
        <v>468</v>
      </c>
      <c r="B63" s="276" t="s">
        <v>469</v>
      </c>
      <c r="C63" s="279" t="s">
        <v>205</v>
      </c>
      <c r="D63" s="279">
        <v>5.0999999999999996</v>
      </c>
      <c r="E63" s="279">
        <v>8.14</v>
      </c>
      <c r="F63" s="280">
        <f t="shared" si="2" ref="F63:F73">D63*E63</f>
        <v>41.51</v>
      </c>
    </row>
    <row r="64" spans="1:6" ht="12.5">
      <c r="A64" s="278" t="s">
        <v>470</v>
      </c>
      <c r="B64" s="276" t="s">
        <v>471</v>
      </c>
      <c r="C64" s="279" t="s">
        <v>66</v>
      </c>
      <c r="D64" s="279">
        <v>1</v>
      </c>
      <c r="E64" s="279">
        <v>2.2400000000000002</v>
      </c>
      <c r="F64" s="280">
        <f t="shared" si="2"/>
        <v>2.2400000000000002</v>
      </c>
    </row>
    <row r="65" spans="1:6" ht="12.5">
      <c r="A65" s="278" t="s">
        <v>472</v>
      </c>
      <c r="B65" s="314" t="s">
        <v>473</v>
      </c>
      <c r="C65" s="279" t="s">
        <v>205</v>
      </c>
      <c r="D65" s="279">
        <v>0.09</v>
      </c>
      <c r="E65" s="279">
        <v>8.4499999999999993</v>
      </c>
      <c r="F65" s="280">
        <f t="shared" si="2"/>
        <v>0.76</v>
      </c>
    </row>
    <row r="66" spans="1:6" ht="12.5">
      <c r="A66" s="278" t="s">
        <v>474</v>
      </c>
      <c r="B66" s="314" t="s">
        <v>475</v>
      </c>
      <c r="C66" s="279" t="s">
        <v>205</v>
      </c>
      <c r="D66" s="279">
        <v>0.09</v>
      </c>
      <c r="E66" s="279">
        <v>17.44</v>
      </c>
      <c r="F66" s="280">
        <f t="shared" si="2"/>
        <v>1.57</v>
      </c>
    </row>
    <row r="67" spans="1:6" ht="12.5">
      <c r="A67" s="278" t="s">
        <v>476</v>
      </c>
      <c r="B67" s="314" t="s">
        <v>477</v>
      </c>
      <c r="C67" s="279" t="s">
        <v>205</v>
      </c>
      <c r="D67" s="279">
        <v>0.09</v>
      </c>
      <c r="E67" s="279">
        <v>251.33</v>
      </c>
      <c r="F67" s="280">
        <f t="shared" si="2"/>
        <v>22.62</v>
      </c>
    </row>
    <row r="68" spans="1:6" ht="12.5">
      <c r="A68" s="278" t="s">
        <v>476</v>
      </c>
      <c r="B68" s="314" t="s">
        <v>478</v>
      </c>
      <c r="C68" s="279" t="s">
        <v>205</v>
      </c>
      <c r="D68" s="279">
        <v>0.02</v>
      </c>
      <c r="E68" s="279">
        <v>251.33</v>
      </c>
      <c r="F68" s="280">
        <f t="shared" si="2"/>
        <v>5.03</v>
      </c>
    </row>
    <row r="69" spans="1:6" ht="12.5">
      <c r="A69" s="278">
        <v>6501</v>
      </c>
      <c r="B69" s="314" t="s">
        <v>479</v>
      </c>
      <c r="C69" s="279" t="s">
        <v>205</v>
      </c>
      <c r="D69" s="279">
        <v>0.02</v>
      </c>
      <c r="E69" s="279">
        <v>1143.77</v>
      </c>
      <c r="F69" s="280">
        <f>D69*E69</f>
        <v>22.88</v>
      </c>
    </row>
    <row r="70" spans="1:6" ht="12.5">
      <c r="A70" s="278" t="s">
        <v>480</v>
      </c>
      <c r="B70" s="314" t="s">
        <v>481</v>
      </c>
      <c r="C70" s="279" t="s">
        <v>439</v>
      </c>
      <c r="D70" s="279">
        <v>0.28000000000000003</v>
      </c>
      <c r="E70" s="279">
        <v>56.45</v>
      </c>
      <c r="F70" s="280">
        <f>D70*E70</f>
        <v>15.81</v>
      </c>
    </row>
    <row r="71" spans="1:6" ht="12.5">
      <c r="A71" s="278" t="s">
        <v>482</v>
      </c>
      <c r="B71" s="314" t="s">
        <v>483</v>
      </c>
      <c r="C71" s="279" t="s">
        <v>439</v>
      </c>
      <c r="D71" s="279">
        <v>2.50</v>
      </c>
      <c r="E71" s="279">
        <v>49.21</v>
      </c>
      <c r="F71" s="280">
        <f>D71*E71</f>
        <v>123.03</v>
      </c>
    </row>
    <row r="72" spans="1:6" ht="12.5">
      <c r="A72" s="278" t="s">
        <v>484</v>
      </c>
      <c r="B72" s="314" t="s">
        <v>485</v>
      </c>
      <c r="C72" s="279" t="s">
        <v>439</v>
      </c>
      <c r="D72" s="279">
        <v>5.0999999999999996</v>
      </c>
      <c r="E72" s="279">
        <v>3.27</v>
      </c>
      <c r="F72" s="280">
        <f>D72*E72</f>
        <v>16.68</v>
      </c>
    </row>
    <row r="73" spans="1:6" ht="12.5">
      <c r="A73" s="278">
        <v>5994</v>
      </c>
      <c r="B73" s="314" t="s">
        <v>486</v>
      </c>
      <c r="C73" s="279" t="s">
        <v>439</v>
      </c>
      <c r="D73" s="279">
        <v>5.0999999999999996</v>
      </c>
      <c r="E73" s="279">
        <v>10.46</v>
      </c>
      <c r="F73" s="280">
        <f t="shared" si="2"/>
        <v>53.35</v>
      </c>
    </row>
    <row r="74" spans="1:6" ht="13">
      <c r="A74" s="283" t="s">
        <v>430</v>
      </c>
      <c r="B74" s="284"/>
      <c r="C74" s="284"/>
      <c r="D74" s="284"/>
      <c r="E74" s="284"/>
      <c r="F74" s="280">
        <f>SUM(F63:F73)</f>
        <v>305.48</v>
      </c>
    </row>
    <row r="75" spans="1:6" ht="13">
      <c r="A75" s="283" t="s">
        <v>431</v>
      </c>
      <c r="B75" s="284"/>
      <c r="C75" s="284"/>
      <c r="D75" s="284"/>
      <c r="E75" s="284"/>
      <c r="F75" s="280"/>
    </row>
    <row r="76" spans="1:6" ht="13.5" thickBot="1">
      <c r="A76" s="285" t="s">
        <v>304</v>
      </c>
      <c r="B76" s="286"/>
      <c r="C76" s="286"/>
      <c r="D76" s="286"/>
      <c r="E76" s="286"/>
      <c r="F76" s="287">
        <f>SUM(F74:F75)</f>
        <v>305.48</v>
      </c>
    </row>
    <row r="77" spans="1:6" ht="13.5" thickTop="1">
      <c r="A77" s="308"/>
      <c r="B77" s="308"/>
      <c r="C77" s="308"/>
      <c r="D77" s="308"/>
      <c r="E77" s="308"/>
      <c r="F77" s="315"/>
    </row>
  </sheetData>
  <mergeCells count="36">
    <mergeCell ref="A76:E76"/>
    <mergeCell ref="A60:F60"/>
    <mergeCell ref="B61:C61"/>
    <mergeCell ref="D61:F61"/>
    <mergeCell ref="A74:E74"/>
    <mergeCell ref="A75:E75"/>
    <mergeCell ref="A58:E58"/>
    <mergeCell ref="A50:F50"/>
    <mergeCell ref="B51:C51"/>
    <mergeCell ref="D51:F51"/>
    <mergeCell ref="A56:E56"/>
    <mergeCell ref="A57:E57"/>
    <mergeCell ref="A23:E23"/>
    <mergeCell ref="A35:E35"/>
    <mergeCell ref="A36:E36"/>
    <mergeCell ref="D13:F13"/>
    <mergeCell ref="A21:E21"/>
    <mergeCell ref="A22:E22"/>
    <mergeCell ref="A25:F25"/>
    <mergeCell ref="A48:E48"/>
    <mergeCell ref="B26:C26"/>
    <mergeCell ref="D26:F26"/>
    <mergeCell ref="A34:E34"/>
    <mergeCell ref="A38:F38"/>
    <mergeCell ref="B39:C39"/>
    <mergeCell ref="D39:F39"/>
    <mergeCell ref="A46:E46"/>
    <mergeCell ref="A47:E47"/>
    <mergeCell ref="A8:E8"/>
    <mergeCell ref="A9:E9"/>
    <mergeCell ref="A10:E10"/>
    <mergeCell ref="A12:F12"/>
    <mergeCell ref="A1:F2"/>
    <mergeCell ref="A3:F3"/>
    <mergeCell ref="B4:C4"/>
    <mergeCell ref="D4:F4"/>
  </mergeCells>
  <printOptions horizontalCentered="1"/>
  <pageMargins left="0.7874015748031497" right="0.7874015748031497" top="1.8503937007874016" bottom="0.7480314960629921" header="0.5118110236220472" footer="0.5118110236220472"/>
  <pageSetup orientation="portrait" paperSize="1" scale="69" r:id="rId2"/>
  <headerFooter alignWithMargins="0">
    <oddHeader xml:space="preserve">&amp;C&amp;G
PREFEITURA MUNICIPAL DE PORTEL
SECRETARIA MUNICIPAL DE INFRA-ESTRUTURA
OBRA: CONSTRUÇÃO DA CONCHA ACÚSTICA – PORTEL - PARÁ
</oddHeader>
  </headerFooter>
  <rowBreaks count="1" manualBreakCount="1">
    <brk id="60" max="5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bad6bee-abd0-48e0-a98a-5bfcc2d5c485}">
  <dimension ref="A1:U173"/>
  <sheetViews>
    <sheetView showGridLines="0" view="pageBreakPreview" zoomScale="104" zoomScaleNormal="100" zoomScaleSheetLayoutView="104" workbookViewId="0" topLeftCell="A145">
      <selection pane="topLeft" activeCell="W167" sqref="W167"/>
    </sheetView>
  </sheetViews>
  <sheetFormatPr defaultColWidth="9.184285714285714" defaultRowHeight="13" customHeight="1"/>
  <cols>
    <col min="1" max="1" width="5.714285714285714" style="414" bestFit="1" customWidth="1"/>
    <col min="2" max="2" width="50.285714285714285" style="404" customWidth="1"/>
    <col min="3" max="3" width="4" style="404" bestFit="1" customWidth="1"/>
    <col min="4" max="4" width="12.285714285714286" style="405" bestFit="1" customWidth="1"/>
    <col min="5" max="5" width="13.428571428571429" style="406" bestFit="1" customWidth="1"/>
    <col min="6" max="6" width="14.142857142857142" style="407" bestFit="1" customWidth="1"/>
    <col min="7" max="7" width="9.142857142857142" style="404" hidden="1" customWidth="1"/>
    <col min="8" max="8" width="15.285714285714286" style="404" hidden="1" customWidth="1"/>
    <col min="9" max="9" width="10.714285714285714" style="404" hidden="1" customWidth="1"/>
    <col min="10" max="10" width="13.285714285714286" style="404" hidden="1" customWidth="1"/>
    <col min="11" max="11" width="10.142857142857142" style="404" customWidth="1"/>
    <col min="12" max="12" width="14.571428571428571" style="404" customWidth="1"/>
    <col min="13" max="15" width="9.142857142857142" style="404" hidden="1" customWidth="1"/>
    <col min="16" max="16" width="3.5714285714285716" style="404" hidden="1" customWidth="1"/>
    <col min="17" max="17" width="9.142857142857142" style="404"/>
    <col min="18" max="18" width="15" style="404" customWidth="1"/>
    <col min="19" max="19" width="9.142857142857142" style="404"/>
    <col min="20" max="20" width="14.142857142857142" style="404" bestFit="1" customWidth="1"/>
    <col min="21" max="21" width="12.428571428571429" style="404" bestFit="1" customWidth="1"/>
    <col min="22" max="16384" width="9.142857142857142" style="404"/>
  </cols>
  <sheetData>
    <row r="1" spans="1:6" ht="15.5">
      <c r="A1" s="316" t="s">
        <v>0</v>
      </c>
      <c r="D1" s="317"/>
      <c r="E1" s="318"/>
      <c r="F1" s="319"/>
    </row>
    <row r="2" spans="1:20" ht="15.5">
      <c r="A2" s="320" t="s">
        <v>1</v>
      </c>
      <c r="B2" s="321"/>
      <c r="C2" s="321"/>
      <c r="D2" s="322"/>
      <c r="E2" s="323"/>
      <c r="F2" s="323"/>
      <c r="S2" s="324" t="s">
        <v>2</v>
      </c>
      <c r="T2" s="324"/>
    </row>
    <row r="3" spans="1:20" ht="15.5">
      <c r="A3" s="320" t="s">
        <v>487</v>
      </c>
      <c r="B3" s="321"/>
      <c r="C3" s="321"/>
      <c r="D3" s="322"/>
      <c r="E3" s="323"/>
      <c r="F3" s="323"/>
      <c r="S3" s="325">
        <v>3</v>
      </c>
      <c r="T3" s="325"/>
    </row>
    <row r="4" spans="1:20" ht="15.5">
      <c r="A4" s="326"/>
      <c r="B4" s="321"/>
      <c r="C4" s="321"/>
      <c r="D4" s="322"/>
      <c r="E4" s="323"/>
      <c r="F4" s="323"/>
      <c r="S4" s="325"/>
      <c r="T4" s="325"/>
    </row>
    <row r="5" spans="1:20" ht="15.5">
      <c r="A5" s="320" t="s">
        <v>488</v>
      </c>
      <c r="B5" s="321"/>
      <c r="C5" s="321"/>
      <c r="D5" s="322"/>
      <c r="E5" s="323"/>
      <c r="F5" s="323"/>
      <c r="G5" s="327"/>
      <c r="S5" s="325"/>
      <c r="T5" s="325"/>
    </row>
    <row r="6" spans="1:20" ht="15.5">
      <c r="A6" s="320" t="s">
        <v>489</v>
      </c>
      <c r="B6" s="321"/>
      <c r="C6" s="321"/>
      <c r="D6" s="322"/>
      <c r="E6" s="323"/>
      <c r="F6" s="323"/>
      <c r="S6" s="325"/>
      <c r="T6" s="325"/>
    </row>
    <row r="7" spans="1:6" ht="15.5">
      <c r="A7" s="326" t="s">
        <v>490</v>
      </c>
      <c r="B7" s="328"/>
      <c r="C7" s="329"/>
      <c r="D7" s="317"/>
      <c r="E7" s="330"/>
      <c r="F7" s="330"/>
    </row>
    <row r="8" spans="1:20" ht="15.5">
      <c r="A8" s="331"/>
      <c r="B8" s="328"/>
      <c r="C8" s="329"/>
      <c r="D8" s="317"/>
      <c r="E8" s="330"/>
      <c r="F8" s="330"/>
      <c r="S8" s="332" t="s">
        <v>7</v>
      </c>
      <c r="T8" s="333">
        <v>45230</v>
      </c>
    </row>
    <row r="9" spans="1:20" ht="15.5">
      <c r="A9" s="334" t="s">
        <v>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</row>
    <row r="10" spans="1:6" ht="13">
      <c r="A10" s="335"/>
      <c r="B10" s="335"/>
      <c r="C10" s="335"/>
      <c r="D10" s="336"/>
      <c r="E10" s="337"/>
      <c r="F10" s="338"/>
    </row>
    <row r="11" spans="1:20" ht="26">
      <c r="A11" s="339" t="s">
        <v>9</v>
      </c>
      <c r="B11" s="340" t="s">
        <v>10</v>
      </c>
      <c r="C11" s="340" t="s">
        <v>11</v>
      </c>
      <c r="D11" s="341" t="s">
        <v>12</v>
      </c>
      <c r="E11" s="342" t="s">
        <v>491</v>
      </c>
      <c r="F11" s="342" t="s">
        <v>14</v>
      </c>
      <c r="G11" s="343" t="s">
        <v>15</v>
      </c>
      <c r="H11" s="343"/>
      <c r="I11" s="343" t="s">
        <v>15</v>
      </c>
      <c r="J11" s="343"/>
      <c r="K11" s="343" t="s">
        <v>15</v>
      </c>
      <c r="L11" s="343"/>
      <c r="M11" s="343" t="s">
        <v>15</v>
      </c>
      <c r="N11" s="343"/>
      <c r="O11" s="343" t="s">
        <v>15</v>
      </c>
      <c r="P11" s="343"/>
      <c r="Q11" s="343" t="s">
        <v>16</v>
      </c>
      <c r="R11" s="343"/>
      <c r="S11" s="343" t="s">
        <v>17</v>
      </c>
      <c r="T11" s="343"/>
    </row>
    <row r="12" spans="1:20" ht="13">
      <c r="A12" s="344"/>
      <c r="B12" s="345"/>
      <c r="C12" s="345"/>
      <c r="D12" s="346"/>
      <c r="E12" s="347"/>
      <c r="F12" s="347"/>
      <c r="G12" s="348" t="s">
        <v>18</v>
      </c>
      <c r="H12" s="349" t="s">
        <v>19</v>
      </c>
      <c r="I12" s="348" t="s">
        <v>18</v>
      </c>
      <c r="J12" s="349" t="s">
        <v>19</v>
      </c>
      <c r="K12" s="348" t="s">
        <v>18</v>
      </c>
      <c r="L12" s="349" t="s">
        <v>19</v>
      </c>
      <c r="M12" s="348" t="s">
        <v>18</v>
      </c>
      <c r="N12" s="349" t="s">
        <v>19</v>
      </c>
      <c r="O12" s="348" t="s">
        <v>18</v>
      </c>
      <c r="P12" s="349" t="s">
        <v>19</v>
      </c>
      <c r="Q12" s="348" t="s">
        <v>18</v>
      </c>
      <c r="R12" s="349" t="s">
        <v>19</v>
      </c>
      <c r="S12" s="348" t="s">
        <v>18</v>
      </c>
      <c r="T12" s="349" t="s">
        <v>19</v>
      </c>
    </row>
    <row r="13" spans="1:20" ht="13">
      <c r="A13" s="350" t="s">
        <v>20</v>
      </c>
      <c r="B13" s="351" t="s">
        <v>21</v>
      </c>
      <c r="C13" s="351"/>
      <c r="D13" s="352"/>
      <c r="E13" s="353"/>
      <c r="F13" s="353">
        <f>F14+F15+F16+F17+F18</f>
        <v>66039.240000000005</v>
      </c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</row>
    <row r="14" spans="1:20" ht="13">
      <c r="A14" s="355" t="s">
        <v>22</v>
      </c>
      <c r="B14" s="88" t="s">
        <v>492</v>
      </c>
      <c r="C14" s="356" t="s">
        <v>24</v>
      </c>
      <c r="D14" s="352">
        <f>'MEM.CÁLCULO (3)'!$E$14</f>
        <v>6</v>
      </c>
      <c r="E14" s="357">
        <v>706.08</v>
      </c>
      <c r="F14" s="358">
        <f>E14*D14</f>
        <v>4236.4799999999996</v>
      </c>
      <c r="G14" s="359">
        <v>6</v>
      </c>
      <c r="H14" s="360">
        <f>G14*$E14</f>
        <v>4236.4799999999996</v>
      </c>
      <c r="I14" s="359"/>
      <c r="J14" s="360">
        <f>I14*$E14</f>
        <v>0</v>
      </c>
      <c r="K14" s="359"/>
      <c r="L14" s="360">
        <f>K14*$E14</f>
        <v>0</v>
      </c>
      <c r="M14" s="359"/>
      <c r="N14" s="360">
        <f>M14*$E14</f>
        <v>0</v>
      </c>
      <c r="O14" s="359"/>
      <c r="P14" s="360">
        <f>O14*$E14</f>
        <v>0</v>
      </c>
      <c r="Q14" s="359">
        <f>G14+I14+K14+M14+O14</f>
        <v>6</v>
      </c>
      <c r="R14" s="360">
        <f>H14+J14+L14+N14+P14</f>
        <v>4236.4799999999996</v>
      </c>
      <c r="S14" s="361">
        <f>D14-Q14</f>
        <v>0</v>
      </c>
      <c r="T14" s="362">
        <f>F14-R14</f>
        <v>0</v>
      </c>
    </row>
    <row r="15" spans="1:20" ht="13">
      <c r="A15" s="355" t="s">
        <v>25</v>
      </c>
      <c r="B15" s="88" t="s">
        <v>493</v>
      </c>
      <c r="C15" s="356" t="s">
        <v>24</v>
      </c>
      <c r="D15" s="352">
        <f>'MEM.CÁLCULO (3)'!$E$19</f>
        <v>182.46</v>
      </c>
      <c r="E15" s="357">
        <v>139.69999999999999</v>
      </c>
      <c r="F15" s="358">
        <f>E15*D15</f>
        <v>25489.66</v>
      </c>
      <c r="G15" s="359">
        <v>182.46</v>
      </c>
      <c r="H15" s="360">
        <f t="shared" si="0" ref="H15:H77">G15*E15</f>
        <v>25489.66</v>
      </c>
      <c r="I15" s="359"/>
      <c r="J15" s="360">
        <f t="shared" si="1" ref="J15:J77">I15*$E15</f>
        <v>0</v>
      </c>
      <c r="K15" s="359"/>
      <c r="L15" s="360">
        <f t="shared" si="2" ref="L15:L77">K15*$E15</f>
        <v>0</v>
      </c>
      <c r="M15" s="359"/>
      <c r="N15" s="360">
        <f t="shared" si="3" ref="N15:N77">M15*$E15</f>
        <v>0</v>
      </c>
      <c r="O15" s="359"/>
      <c r="P15" s="360">
        <f t="shared" si="4" ref="P15:P77">O15*$E15</f>
        <v>0</v>
      </c>
      <c r="Q15" s="359">
        <f t="shared" si="5" ref="Q15:Q77">G15+I15+K15+M15+O15</f>
        <v>182.46</v>
      </c>
      <c r="R15" s="360">
        <f t="shared" si="6" ref="R15:R77">H15+J15+L15+N15+P15</f>
        <v>25489.66</v>
      </c>
      <c r="S15" s="361">
        <f t="shared" si="7" ref="S15:S77">D15-Q15</f>
        <v>0</v>
      </c>
      <c r="T15" s="362">
        <f t="shared" si="8" ref="T15:T77">F15-R15</f>
        <v>0</v>
      </c>
    </row>
    <row r="16" spans="1:20" ht="13">
      <c r="A16" s="355" t="s">
        <v>27</v>
      </c>
      <c r="B16" s="88" t="s">
        <v>494</v>
      </c>
      <c r="C16" s="356" t="s">
        <v>24</v>
      </c>
      <c r="D16" s="352">
        <f>'MEM.CÁLCULO (3)'!$E$24</f>
        <v>18</v>
      </c>
      <c r="E16" s="357">
        <v>961.91</v>
      </c>
      <c r="F16" s="358">
        <f>E16*D16</f>
        <v>17314.38</v>
      </c>
      <c r="G16" s="359">
        <v>18</v>
      </c>
      <c r="H16" s="360">
        <f t="shared" si="0"/>
        <v>17314.38</v>
      </c>
      <c r="I16" s="359"/>
      <c r="J16" s="360">
        <f t="shared" si="1"/>
        <v>0</v>
      </c>
      <c r="K16" s="359"/>
      <c r="L16" s="360">
        <f t="shared" si="2"/>
        <v>0</v>
      </c>
      <c r="M16" s="359"/>
      <c r="N16" s="360">
        <f t="shared" si="3"/>
        <v>0</v>
      </c>
      <c r="O16" s="359"/>
      <c r="P16" s="360">
        <f t="shared" si="4"/>
        <v>0</v>
      </c>
      <c r="Q16" s="359">
        <f t="shared" si="5"/>
        <v>18</v>
      </c>
      <c r="R16" s="360">
        <f t="shared" si="6"/>
        <v>17314.38</v>
      </c>
      <c r="S16" s="361">
        <f t="shared" si="7"/>
        <v>0</v>
      </c>
      <c r="T16" s="362">
        <f t="shared" si="8"/>
        <v>0</v>
      </c>
    </row>
    <row r="17" spans="1:20" ht="39">
      <c r="A17" s="355" t="s">
        <v>332</v>
      </c>
      <c r="B17" s="88" t="s">
        <v>495</v>
      </c>
      <c r="C17" s="356" t="s">
        <v>29</v>
      </c>
      <c r="D17" s="352">
        <f>'MEM.CÁLCULO (3)'!$E$29</f>
        <v>99.23</v>
      </c>
      <c r="E17" s="357">
        <v>70.790000000000006</v>
      </c>
      <c r="F17" s="358">
        <f>E17*D17</f>
        <v>7024.49</v>
      </c>
      <c r="G17" s="359">
        <v>99.23</v>
      </c>
      <c r="H17" s="360">
        <f t="shared" si="0"/>
        <v>7024.49</v>
      </c>
      <c r="I17" s="359"/>
      <c r="J17" s="360">
        <f t="shared" si="1"/>
        <v>0</v>
      </c>
      <c r="K17" s="359"/>
      <c r="L17" s="360">
        <f t="shared" si="2"/>
        <v>0</v>
      </c>
      <c r="M17" s="359"/>
      <c r="N17" s="360">
        <f t="shared" si="3"/>
        <v>0</v>
      </c>
      <c r="O17" s="359"/>
      <c r="P17" s="360">
        <f t="shared" si="4"/>
        <v>0</v>
      </c>
      <c r="Q17" s="359">
        <f t="shared" si="5"/>
        <v>99.23</v>
      </c>
      <c r="R17" s="360">
        <f t="shared" si="6"/>
        <v>7024.49</v>
      </c>
      <c r="S17" s="361">
        <f t="shared" si="7"/>
        <v>0</v>
      </c>
      <c r="T17" s="362">
        <f t="shared" si="8"/>
        <v>0</v>
      </c>
    </row>
    <row r="18" spans="1:20" ht="39">
      <c r="A18" s="355" t="s">
        <v>496</v>
      </c>
      <c r="B18" s="88" t="s">
        <v>497</v>
      </c>
      <c r="C18" s="356" t="s">
        <v>24</v>
      </c>
      <c r="D18" s="352">
        <f>'MEM.CÁLCULO (3)'!$E$34</f>
        <v>9</v>
      </c>
      <c r="E18" s="357">
        <v>1330.47</v>
      </c>
      <c r="F18" s="358">
        <f>E18*D18</f>
        <v>11974.23</v>
      </c>
      <c r="G18" s="359">
        <v>9</v>
      </c>
      <c r="H18" s="360">
        <f t="shared" si="0"/>
        <v>11974.23</v>
      </c>
      <c r="I18" s="359"/>
      <c r="J18" s="360">
        <f t="shared" si="1"/>
        <v>0</v>
      </c>
      <c r="K18" s="359"/>
      <c r="L18" s="360">
        <f t="shared" si="2"/>
        <v>0</v>
      </c>
      <c r="M18" s="359"/>
      <c r="N18" s="360">
        <f t="shared" si="3"/>
        <v>0</v>
      </c>
      <c r="O18" s="359"/>
      <c r="P18" s="360">
        <f t="shared" si="4"/>
        <v>0</v>
      </c>
      <c r="Q18" s="359">
        <f t="shared" si="5"/>
        <v>9</v>
      </c>
      <c r="R18" s="360">
        <f t="shared" si="6"/>
        <v>11974.23</v>
      </c>
      <c r="S18" s="361">
        <f t="shared" si="7"/>
        <v>0</v>
      </c>
      <c r="T18" s="362">
        <f t="shared" si="8"/>
        <v>0</v>
      </c>
    </row>
    <row r="19" spans="1:20" ht="13">
      <c r="A19" s="356"/>
      <c r="B19" s="88"/>
      <c r="C19" s="356"/>
      <c r="D19" s="352"/>
      <c r="E19" s="363"/>
      <c r="F19" s="358"/>
      <c r="G19" s="359"/>
      <c r="H19" s="360"/>
      <c r="I19" s="359"/>
      <c r="J19" s="360"/>
      <c r="K19" s="359"/>
      <c r="L19" s="360"/>
      <c r="M19" s="359"/>
      <c r="N19" s="360"/>
      <c r="O19" s="359"/>
      <c r="P19" s="360"/>
      <c r="Q19" s="359"/>
      <c r="R19" s="360"/>
      <c r="S19" s="361"/>
      <c r="T19" s="362"/>
    </row>
    <row r="20" spans="1:20" ht="13">
      <c r="A20" s="364" t="s">
        <v>30</v>
      </c>
      <c r="B20" s="351" t="s">
        <v>31</v>
      </c>
      <c r="C20" s="356"/>
      <c r="D20" s="352"/>
      <c r="E20" s="353"/>
      <c r="F20" s="353">
        <f>SUM(F21+F22)</f>
        <v>13970.68</v>
      </c>
      <c r="G20" s="359"/>
      <c r="H20" s="360"/>
      <c r="I20" s="359"/>
      <c r="J20" s="360"/>
      <c r="K20" s="359"/>
      <c r="L20" s="360"/>
      <c r="M20" s="359"/>
      <c r="N20" s="360"/>
      <c r="O20" s="359"/>
      <c r="P20" s="360"/>
      <c r="Q20" s="359"/>
      <c r="R20" s="360"/>
      <c r="S20" s="361"/>
      <c r="T20" s="362"/>
    </row>
    <row r="21" spans="1:20" ht="13">
      <c r="A21" s="356" t="s">
        <v>32</v>
      </c>
      <c r="B21" s="354" t="s">
        <v>498</v>
      </c>
      <c r="C21" s="356" t="s">
        <v>34</v>
      </c>
      <c r="D21" s="352">
        <f>'MEM.CÁLCULO (3)'!C41</f>
        <v>1</v>
      </c>
      <c r="E21" s="365">
        <v>6985.34</v>
      </c>
      <c r="F21" s="358">
        <f>E21*D21</f>
        <v>6985.34</v>
      </c>
      <c r="G21" s="359">
        <v>1</v>
      </c>
      <c r="H21" s="360">
        <f t="shared" si="0"/>
        <v>6985.34</v>
      </c>
      <c r="I21" s="359"/>
      <c r="J21" s="360">
        <f t="shared" si="1"/>
        <v>0</v>
      </c>
      <c r="K21" s="359"/>
      <c r="L21" s="360">
        <f t="shared" si="2"/>
        <v>0</v>
      </c>
      <c r="M21" s="359"/>
      <c r="N21" s="360">
        <f t="shared" si="3"/>
        <v>0</v>
      </c>
      <c r="O21" s="359"/>
      <c r="P21" s="360">
        <f t="shared" si="4"/>
        <v>0</v>
      </c>
      <c r="Q21" s="359">
        <f t="shared" si="5"/>
        <v>1</v>
      </c>
      <c r="R21" s="360">
        <f t="shared" si="6"/>
        <v>6985.34</v>
      </c>
      <c r="S21" s="361">
        <f t="shared" si="7"/>
        <v>0</v>
      </c>
      <c r="T21" s="362">
        <f t="shared" si="8"/>
        <v>0</v>
      </c>
    </row>
    <row r="22" spans="1:20" ht="13">
      <c r="A22" s="356" t="s">
        <v>35</v>
      </c>
      <c r="B22" s="354" t="s">
        <v>499</v>
      </c>
      <c r="C22" s="356" t="s">
        <v>34</v>
      </c>
      <c r="D22" s="352">
        <f>'MEM.CÁLCULO (3)'!C46</f>
        <v>1</v>
      </c>
      <c r="E22" s="365">
        <v>6985.34</v>
      </c>
      <c r="F22" s="358">
        <f>E22*D22</f>
        <v>6985.34</v>
      </c>
      <c r="G22" s="359"/>
      <c r="H22" s="360">
        <f t="shared" si="0"/>
        <v>0</v>
      </c>
      <c r="I22" s="359"/>
      <c r="J22" s="360">
        <f t="shared" si="1"/>
        <v>0</v>
      </c>
      <c r="K22" s="359"/>
      <c r="L22" s="360">
        <f t="shared" si="2"/>
        <v>0</v>
      </c>
      <c r="M22" s="359"/>
      <c r="N22" s="360">
        <f t="shared" si="3"/>
        <v>0</v>
      </c>
      <c r="O22" s="359"/>
      <c r="P22" s="360">
        <f t="shared" si="4"/>
        <v>0</v>
      </c>
      <c r="Q22" s="359">
        <f t="shared" si="5"/>
        <v>0</v>
      </c>
      <c r="R22" s="360">
        <f t="shared" si="6"/>
        <v>0</v>
      </c>
      <c r="S22" s="361">
        <f t="shared" si="7"/>
        <v>1</v>
      </c>
      <c r="T22" s="362">
        <f t="shared" si="8"/>
        <v>6985.34</v>
      </c>
    </row>
    <row r="23" spans="1:20" ht="13">
      <c r="A23" s="356"/>
      <c r="B23" s="354"/>
      <c r="C23" s="356"/>
      <c r="D23" s="352"/>
      <c r="E23" s="363"/>
      <c r="F23" s="358"/>
      <c r="G23" s="359"/>
      <c r="H23" s="360"/>
      <c r="I23" s="359"/>
      <c r="J23" s="360"/>
      <c r="K23" s="359"/>
      <c r="L23" s="360"/>
      <c r="M23" s="359"/>
      <c r="N23" s="360"/>
      <c r="O23" s="359"/>
      <c r="P23" s="360"/>
      <c r="Q23" s="359"/>
      <c r="R23" s="360"/>
      <c r="S23" s="361"/>
      <c r="T23" s="362"/>
    </row>
    <row r="24" spans="1:20" ht="13">
      <c r="A24" s="364" t="s">
        <v>37</v>
      </c>
      <c r="B24" s="351" t="s">
        <v>38</v>
      </c>
      <c r="C24" s="356"/>
      <c r="D24" s="352"/>
      <c r="E24" s="353"/>
      <c r="F24" s="353">
        <f>F25</f>
        <v>71701</v>
      </c>
      <c r="G24" s="359"/>
      <c r="H24" s="360"/>
      <c r="I24" s="359"/>
      <c r="J24" s="360"/>
      <c r="K24" s="359"/>
      <c r="L24" s="360"/>
      <c r="M24" s="359"/>
      <c r="N24" s="360"/>
      <c r="O24" s="359"/>
      <c r="P24" s="360"/>
      <c r="Q24" s="359"/>
      <c r="R24" s="360"/>
      <c r="S24" s="361"/>
      <c r="T24" s="362"/>
    </row>
    <row r="25" spans="1:20" ht="13">
      <c r="A25" s="356" t="s">
        <v>39</v>
      </c>
      <c r="B25" s="354" t="s">
        <v>40</v>
      </c>
      <c r="C25" s="356" t="s">
        <v>34</v>
      </c>
      <c r="D25" s="352">
        <f>'MEM.CÁLCULO (3)'!C53</f>
        <v>1</v>
      </c>
      <c r="E25" s="365">
        <v>71701</v>
      </c>
      <c r="F25" s="358">
        <f>E25*D25</f>
        <v>71701</v>
      </c>
      <c r="G25" s="359">
        <v>0.14000000000000001</v>
      </c>
      <c r="H25" s="360">
        <f t="shared" si="0"/>
        <v>10038.14</v>
      </c>
      <c r="I25" s="359">
        <v>0.10</v>
      </c>
      <c r="J25" s="360">
        <f t="shared" si="1"/>
        <v>7170.10</v>
      </c>
      <c r="K25" s="359">
        <v>0.20</v>
      </c>
      <c r="L25" s="360">
        <f t="shared" si="2"/>
        <v>14340.20</v>
      </c>
      <c r="M25" s="359"/>
      <c r="N25" s="360">
        <f t="shared" si="3"/>
        <v>0</v>
      </c>
      <c r="O25" s="359"/>
      <c r="P25" s="360">
        <f t="shared" si="4"/>
        <v>0</v>
      </c>
      <c r="Q25" s="359">
        <f t="shared" si="5"/>
        <v>0.44</v>
      </c>
      <c r="R25" s="360">
        <f t="shared" si="6"/>
        <v>31548.44</v>
      </c>
      <c r="S25" s="361">
        <f t="shared" si="7"/>
        <v>0.56000000000000005</v>
      </c>
      <c r="T25" s="362">
        <f t="shared" si="8"/>
        <v>40152.56</v>
      </c>
    </row>
    <row r="26" spans="1:20" ht="13">
      <c r="A26" s="356"/>
      <c r="B26" s="354"/>
      <c r="C26" s="356"/>
      <c r="D26" s="352"/>
      <c r="E26" s="363"/>
      <c r="F26" s="358"/>
      <c r="G26" s="359"/>
      <c r="H26" s="360"/>
      <c r="I26" s="359"/>
      <c r="J26" s="360"/>
      <c r="K26" s="359"/>
      <c r="L26" s="360"/>
      <c r="M26" s="359"/>
      <c r="N26" s="360"/>
      <c r="O26" s="359"/>
      <c r="P26" s="360"/>
      <c r="Q26" s="359"/>
      <c r="R26" s="360"/>
      <c r="S26" s="361"/>
      <c r="T26" s="362"/>
    </row>
    <row r="27" spans="1:20" ht="13">
      <c r="A27" s="350" t="s">
        <v>41</v>
      </c>
      <c r="B27" s="351" t="s">
        <v>500</v>
      </c>
      <c r="C27" s="351"/>
      <c r="D27" s="352"/>
      <c r="E27" s="353"/>
      <c r="F27" s="353">
        <f>F28+F29+F30+F31</f>
        <v>9720.43</v>
      </c>
      <c r="G27" s="366"/>
      <c r="H27" s="360"/>
      <c r="I27" s="359"/>
      <c r="J27" s="360"/>
      <c r="K27" s="359"/>
      <c r="L27" s="360"/>
      <c r="M27" s="359"/>
      <c r="N27" s="360"/>
      <c r="O27" s="359"/>
      <c r="P27" s="360"/>
      <c r="Q27" s="359"/>
      <c r="R27" s="360"/>
      <c r="S27" s="361"/>
      <c r="T27" s="362"/>
    </row>
    <row r="28" spans="1:20" ht="26">
      <c r="A28" s="356" t="s">
        <v>43</v>
      </c>
      <c r="B28" s="88" t="s">
        <v>91</v>
      </c>
      <c r="C28" s="356" t="s">
        <v>45</v>
      </c>
      <c r="D28" s="352">
        <f>'MEM.CÁLCULO (3)'!G83</f>
        <v>42.29</v>
      </c>
      <c r="E28" s="365">
        <v>97.89</v>
      </c>
      <c r="F28" s="358">
        <f>E28*D28-0.01</f>
        <v>4139.76</v>
      </c>
      <c r="G28" s="367">
        <v>42.29</v>
      </c>
      <c r="H28" s="360">
        <f>G28*E28-0.01</f>
        <v>4139.76</v>
      </c>
      <c r="I28" s="359"/>
      <c r="J28" s="360">
        <f t="shared" si="1"/>
        <v>0</v>
      </c>
      <c r="K28" s="359"/>
      <c r="L28" s="360">
        <f t="shared" si="2"/>
        <v>0</v>
      </c>
      <c r="M28" s="359"/>
      <c r="N28" s="360">
        <f t="shared" si="3"/>
        <v>0</v>
      </c>
      <c r="O28" s="359"/>
      <c r="P28" s="360">
        <f t="shared" si="4"/>
        <v>0</v>
      </c>
      <c r="Q28" s="359">
        <f t="shared" si="5"/>
        <v>42.29</v>
      </c>
      <c r="R28" s="360">
        <f t="shared" si="6"/>
        <v>4139.76</v>
      </c>
      <c r="S28" s="361">
        <f t="shared" si="7"/>
        <v>0</v>
      </c>
      <c r="T28" s="362">
        <f t="shared" si="8"/>
        <v>0</v>
      </c>
    </row>
    <row r="29" spans="1:20" ht="12.75" customHeight="1">
      <c r="A29" s="356" t="s">
        <v>46</v>
      </c>
      <c r="B29" s="88" t="s">
        <v>501</v>
      </c>
      <c r="C29" s="356" t="s">
        <v>45</v>
      </c>
      <c r="D29" s="352">
        <f>'MEM.CÁLCULO (3)'!E88</f>
        <v>12.69</v>
      </c>
      <c r="E29" s="365">
        <v>10.83</v>
      </c>
      <c r="F29" s="358">
        <f>E29*D29</f>
        <v>137.43</v>
      </c>
      <c r="G29" s="366">
        <v>12.69</v>
      </c>
      <c r="H29" s="360">
        <f t="shared" si="0"/>
        <v>137.43</v>
      </c>
      <c r="I29" s="359"/>
      <c r="J29" s="360">
        <f t="shared" si="1"/>
        <v>0</v>
      </c>
      <c r="K29" s="359"/>
      <c r="L29" s="360">
        <f t="shared" si="2"/>
        <v>0</v>
      </c>
      <c r="M29" s="359"/>
      <c r="N29" s="360">
        <f t="shared" si="3"/>
        <v>0</v>
      </c>
      <c r="O29" s="359"/>
      <c r="P29" s="360">
        <f t="shared" si="4"/>
        <v>0</v>
      </c>
      <c r="Q29" s="359">
        <f t="shared" si="5"/>
        <v>12.69</v>
      </c>
      <c r="R29" s="360">
        <f t="shared" si="6"/>
        <v>137.43</v>
      </c>
      <c r="S29" s="361">
        <f t="shared" si="7"/>
        <v>0</v>
      </c>
      <c r="T29" s="362">
        <f t="shared" si="8"/>
        <v>0</v>
      </c>
    </row>
    <row r="30" spans="1:20" ht="13">
      <c r="A30" s="356" t="s">
        <v>502</v>
      </c>
      <c r="B30" s="88" t="s">
        <v>105</v>
      </c>
      <c r="C30" s="356" t="s">
        <v>45</v>
      </c>
      <c r="D30" s="352">
        <f>'MEM.CÁLCULO (3)'!E93</f>
        <v>25.87</v>
      </c>
      <c r="E30" s="365">
        <v>59.34</v>
      </c>
      <c r="F30" s="358">
        <f>E30*D30-0.01</f>
        <v>1535.12</v>
      </c>
      <c r="G30" s="366">
        <v>25.87</v>
      </c>
      <c r="H30" s="360">
        <f>G30*E30-0.01</f>
        <v>1535.12</v>
      </c>
      <c r="I30" s="359"/>
      <c r="J30" s="360">
        <f t="shared" si="1"/>
        <v>0</v>
      </c>
      <c r="K30" s="359"/>
      <c r="L30" s="360">
        <f t="shared" si="2"/>
        <v>0</v>
      </c>
      <c r="M30" s="359"/>
      <c r="N30" s="360">
        <f t="shared" si="3"/>
        <v>0</v>
      </c>
      <c r="O30" s="359"/>
      <c r="P30" s="360">
        <f t="shared" si="4"/>
        <v>0</v>
      </c>
      <c r="Q30" s="359">
        <f t="shared" si="5"/>
        <v>25.87</v>
      </c>
      <c r="R30" s="360">
        <f t="shared" si="6"/>
        <v>1535.12</v>
      </c>
      <c r="S30" s="361">
        <f t="shared" si="7"/>
        <v>0</v>
      </c>
      <c r="T30" s="362">
        <f t="shared" si="8"/>
        <v>0</v>
      </c>
    </row>
    <row r="31" spans="1:20" ht="26">
      <c r="A31" s="356" t="s">
        <v>503</v>
      </c>
      <c r="B31" s="88" t="s">
        <v>504</v>
      </c>
      <c r="C31" s="356" t="s">
        <v>45</v>
      </c>
      <c r="D31" s="352">
        <f>'MEM.CÁLCULO (3)'!E128</f>
        <v>40.44</v>
      </c>
      <c r="E31" s="365">
        <v>96.64</v>
      </c>
      <c r="F31" s="358">
        <f>E31*D31</f>
        <v>3908.12</v>
      </c>
      <c r="G31" s="366">
        <v>40.44</v>
      </c>
      <c r="H31" s="360">
        <f t="shared" si="0"/>
        <v>3908.12</v>
      </c>
      <c r="I31" s="359"/>
      <c r="J31" s="360">
        <f t="shared" si="1"/>
        <v>0</v>
      </c>
      <c r="K31" s="359"/>
      <c r="L31" s="360">
        <f t="shared" si="2"/>
        <v>0</v>
      </c>
      <c r="M31" s="359"/>
      <c r="N31" s="360">
        <f t="shared" si="3"/>
        <v>0</v>
      </c>
      <c r="O31" s="359"/>
      <c r="P31" s="360">
        <f t="shared" si="4"/>
        <v>0</v>
      </c>
      <c r="Q31" s="359">
        <f t="shared" si="5"/>
        <v>40.44</v>
      </c>
      <c r="R31" s="360">
        <f t="shared" si="6"/>
        <v>3908.12</v>
      </c>
      <c r="S31" s="361">
        <f t="shared" si="7"/>
        <v>0</v>
      </c>
      <c r="T31" s="362">
        <f t="shared" si="8"/>
        <v>0</v>
      </c>
    </row>
    <row r="32" spans="1:20" ht="13">
      <c r="A32" s="356"/>
      <c r="B32" s="368"/>
      <c r="C32" s="356"/>
      <c r="D32" s="352"/>
      <c r="E32" s="363"/>
      <c r="F32" s="358"/>
      <c r="G32" s="369"/>
      <c r="H32" s="360"/>
      <c r="I32" s="359"/>
      <c r="J32" s="360"/>
      <c r="K32" s="359"/>
      <c r="L32" s="360"/>
      <c r="M32" s="359"/>
      <c r="N32" s="360"/>
      <c r="O32" s="359"/>
      <c r="P32" s="360"/>
      <c r="Q32" s="359"/>
      <c r="R32" s="360"/>
      <c r="S32" s="361"/>
      <c r="T32" s="362"/>
    </row>
    <row r="33" spans="1:20" ht="13">
      <c r="A33" s="350" t="s">
        <v>505</v>
      </c>
      <c r="B33" s="351" t="s">
        <v>506</v>
      </c>
      <c r="C33" s="351"/>
      <c r="D33" s="352"/>
      <c r="E33" s="353"/>
      <c r="F33" s="353">
        <f>SUM(F34:F35)</f>
        <v>42112.91</v>
      </c>
      <c r="G33" s="359"/>
      <c r="H33" s="360"/>
      <c r="I33" s="359"/>
      <c r="J33" s="360"/>
      <c r="K33" s="359"/>
      <c r="L33" s="360"/>
      <c r="M33" s="359"/>
      <c r="N33" s="360"/>
      <c r="O33" s="359"/>
      <c r="P33" s="360"/>
      <c r="Q33" s="359"/>
      <c r="R33" s="360"/>
      <c r="S33" s="361"/>
      <c r="T33" s="362"/>
    </row>
    <row r="34" spans="1:20" ht="26">
      <c r="A34" s="355" t="s">
        <v>507</v>
      </c>
      <c r="B34" s="88" t="s">
        <v>508</v>
      </c>
      <c r="C34" s="356" t="s">
        <v>24</v>
      </c>
      <c r="D34" s="352">
        <f>'MEM.CÁLCULO (3)'!F158</f>
        <v>50.63</v>
      </c>
      <c r="E34" s="365">
        <v>50.31</v>
      </c>
      <c r="F34" s="358">
        <f>E34*D34-0.01</f>
        <v>2547.19</v>
      </c>
      <c r="G34" s="359">
        <v>50.63</v>
      </c>
      <c r="H34" s="360">
        <f>G34*E34-0.01</f>
        <v>2547.19</v>
      </c>
      <c r="I34" s="359"/>
      <c r="J34" s="360">
        <f t="shared" si="1"/>
        <v>0</v>
      </c>
      <c r="K34" s="359"/>
      <c r="L34" s="360">
        <f t="shared" si="2"/>
        <v>0</v>
      </c>
      <c r="M34" s="359"/>
      <c r="N34" s="360">
        <f t="shared" si="3"/>
        <v>0</v>
      </c>
      <c r="O34" s="359"/>
      <c r="P34" s="360">
        <f t="shared" si="4"/>
        <v>0</v>
      </c>
      <c r="Q34" s="359">
        <f t="shared" si="5"/>
        <v>50.63</v>
      </c>
      <c r="R34" s="360">
        <f t="shared" si="6"/>
        <v>2547.19</v>
      </c>
      <c r="S34" s="361">
        <f t="shared" si="7"/>
        <v>0</v>
      </c>
      <c r="T34" s="362">
        <f t="shared" si="8"/>
        <v>0</v>
      </c>
    </row>
    <row r="35" spans="1:21" ht="52">
      <c r="A35" s="355" t="s">
        <v>509</v>
      </c>
      <c r="B35" s="88" t="s">
        <v>510</v>
      </c>
      <c r="C35" s="356" t="s">
        <v>45</v>
      </c>
      <c r="D35" s="352">
        <f>'MEM.CÁLCULO (3)'!G188</f>
        <v>12.74</v>
      </c>
      <c r="E35" s="365">
        <v>3105.63</v>
      </c>
      <c r="F35" s="358">
        <f>E35*D35-0.01</f>
        <v>39565.72</v>
      </c>
      <c r="G35" s="359">
        <v>8</v>
      </c>
      <c r="H35" s="360">
        <f t="shared" si="0"/>
        <v>24845.04</v>
      </c>
      <c r="I35" s="359">
        <v>4.74</v>
      </c>
      <c r="J35" s="360">
        <f>I35*$E35-0.01</f>
        <v>14720.68</v>
      </c>
      <c r="K35" s="359"/>
      <c r="L35" s="360">
        <f t="shared" si="2"/>
        <v>0</v>
      </c>
      <c r="M35" s="359"/>
      <c r="N35" s="360">
        <f t="shared" si="3"/>
        <v>0</v>
      </c>
      <c r="O35" s="359"/>
      <c r="P35" s="360">
        <f t="shared" si="4"/>
        <v>0</v>
      </c>
      <c r="Q35" s="359">
        <f t="shared" si="5"/>
        <v>12.74</v>
      </c>
      <c r="R35" s="360">
        <f t="shared" si="6"/>
        <v>39565.72</v>
      </c>
      <c r="S35" s="361">
        <f t="shared" si="7"/>
        <v>0</v>
      </c>
      <c r="T35" s="362">
        <f t="shared" si="8"/>
        <v>0</v>
      </c>
      <c r="U35" s="370"/>
    </row>
    <row r="36" spans="1:20" ht="13">
      <c r="A36" s="355"/>
      <c r="B36" s="88"/>
      <c r="C36" s="356"/>
      <c r="D36" s="352"/>
      <c r="E36" s="363"/>
      <c r="F36" s="358"/>
      <c r="G36" s="359"/>
      <c r="H36" s="360"/>
      <c r="I36" s="359"/>
      <c r="J36" s="360"/>
      <c r="K36" s="359"/>
      <c r="L36" s="360"/>
      <c r="M36" s="359"/>
      <c r="N36" s="360"/>
      <c r="O36" s="359"/>
      <c r="P36" s="360"/>
      <c r="Q36" s="359"/>
      <c r="R36" s="360"/>
      <c r="S36" s="361"/>
      <c r="T36" s="362"/>
    </row>
    <row r="37" spans="1:20" s="321" customFormat="1" ht="13">
      <c r="A37" s="364" t="s">
        <v>511</v>
      </c>
      <c r="B37" s="371" t="s">
        <v>512</v>
      </c>
      <c r="C37" s="364"/>
      <c r="D37" s="352"/>
      <c r="E37" s="353"/>
      <c r="F37" s="353">
        <f>SUM(F38:F39)</f>
        <v>24832.86</v>
      </c>
      <c r="G37" s="372"/>
      <c r="H37" s="360"/>
      <c r="I37" s="372"/>
      <c r="J37" s="360"/>
      <c r="K37" s="372"/>
      <c r="L37" s="360"/>
      <c r="M37" s="372"/>
      <c r="N37" s="360"/>
      <c r="O37" s="372"/>
      <c r="P37" s="360"/>
      <c r="Q37" s="359"/>
      <c r="R37" s="360"/>
      <c r="S37" s="361"/>
      <c r="T37" s="362"/>
    </row>
    <row r="38" spans="1:20" ht="52">
      <c r="A38" s="356" t="s">
        <v>513</v>
      </c>
      <c r="B38" s="88" t="s">
        <v>510</v>
      </c>
      <c r="C38" s="356" t="s">
        <v>45</v>
      </c>
      <c r="D38" s="352">
        <f>'MEM.CÁLCULO (3)'!G211</f>
        <v>7.61</v>
      </c>
      <c r="E38" s="365">
        <v>3105.63</v>
      </c>
      <c r="F38" s="358">
        <f>E38*D38</f>
        <v>23633.84</v>
      </c>
      <c r="G38" s="359"/>
      <c r="H38" s="360">
        <f t="shared" si="0"/>
        <v>0</v>
      </c>
      <c r="I38" s="359">
        <v>4</v>
      </c>
      <c r="J38" s="360">
        <f t="shared" si="1"/>
        <v>12422.52</v>
      </c>
      <c r="K38" s="359">
        <v>3.61</v>
      </c>
      <c r="L38" s="360">
        <f t="shared" si="2"/>
        <v>11211.32</v>
      </c>
      <c r="M38" s="359"/>
      <c r="N38" s="360">
        <f t="shared" si="3"/>
        <v>0</v>
      </c>
      <c r="O38" s="359"/>
      <c r="P38" s="360">
        <f t="shared" si="4"/>
        <v>0</v>
      </c>
      <c r="Q38" s="359">
        <f t="shared" si="5"/>
        <v>7.61</v>
      </c>
      <c r="R38" s="360">
        <f t="shared" si="6"/>
        <v>23633.84</v>
      </c>
      <c r="S38" s="361">
        <f t="shared" si="7"/>
        <v>0</v>
      </c>
      <c r="T38" s="362">
        <f t="shared" si="8"/>
        <v>0</v>
      </c>
    </row>
    <row r="39" spans="1:20" ht="13">
      <c r="A39" s="356" t="s">
        <v>514</v>
      </c>
      <c r="B39" s="88" t="s">
        <v>515</v>
      </c>
      <c r="C39" s="356" t="s">
        <v>45</v>
      </c>
      <c r="D39" s="352">
        <f>'MEM.CÁLCULO (3)'!G217</f>
        <v>0.32</v>
      </c>
      <c r="E39" s="365">
        <v>3746.94</v>
      </c>
      <c r="F39" s="358">
        <f>E39*D39</f>
        <v>1199.02</v>
      </c>
      <c r="G39" s="359"/>
      <c r="H39" s="360">
        <f t="shared" si="0"/>
        <v>0</v>
      </c>
      <c r="I39" s="359"/>
      <c r="J39" s="360">
        <f t="shared" si="1"/>
        <v>0</v>
      </c>
      <c r="K39" s="359"/>
      <c r="L39" s="360">
        <f t="shared" si="2"/>
        <v>0</v>
      </c>
      <c r="M39" s="359"/>
      <c r="N39" s="360">
        <f t="shared" si="3"/>
        <v>0</v>
      </c>
      <c r="O39" s="359"/>
      <c r="P39" s="360">
        <f t="shared" si="4"/>
        <v>0</v>
      </c>
      <c r="Q39" s="359">
        <f t="shared" si="5"/>
        <v>0</v>
      </c>
      <c r="R39" s="360">
        <f t="shared" si="6"/>
        <v>0</v>
      </c>
      <c r="S39" s="361">
        <f t="shared" si="7"/>
        <v>0.32</v>
      </c>
      <c r="T39" s="362">
        <f t="shared" si="8"/>
        <v>1199.02</v>
      </c>
    </row>
    <row r="40" spans="1:20" ht="13">
      <c r="A40" s="356"/>
      <c r="B40" s="88"/>
      <c r="C40" s="356"/>
      <c r="D40" s="352"/>
      <c r="E40" s="363"/>
      <c r="F40" s="358"/>
      <c r="G40" s="359"/>
      <c r="H40" s="360"/>
      <c r="I40" s="359"/>
      <c r="J40" s="360"/>
      <c r="K40" s="359"/>
      <c r="L40" s="360"/>
      <c r="M40" s="359"/>
      <c r="N40" s="360"/>
      <c r="O40" s="359"/>
      <c r="P40" s="360"/>
      <c r="Q40" s="359"/>
      <c r="R40" s="360"/>
      <c r="S40" s="361"/>
      <c r="T40" s="362"/>
    </row>
    <row r="41" spans="1:20" s="321" customFormat="1" ht="13">
      <c r="A41" s="364" t="s">
        <v>516</v>
      </c>
      <c r="B41" s="371" t="s">
        <v>517</v>
      </c>
      <c r="C41" s="364"/>
      <c r="D41" s="352"/>
      <c r="E41" s="353"/>
      <c r="F41" s="353">
        <f>SUM(F42)</f>
        <v>12173.69</v>
      </c>
      <c r="G41" s="372"/>
      <c r="H41" s="360"/>
      <c r="I41" s="372"/>
      <c r="J41" s="360"/>
      <c r="K41" s="372"/>
      <c r="L41" s="360"/>
      <c r="M41" s="372"/>
      <c r="N41" s="360"/>
      <c r="O41" s="372"/>
      <c r="P41" s="360"/>
      <c r="Q41" s="359"/>
      <c r="R41" s="360"/>
      <c r="S41" s="361"/>
      <c r="T41" s="362"/>
    </row>
    <row r="42" spans="1:20" ht="26">
      <c r="A42" s="356" t="s">
        <v>518</v>
      </c>
      <c r="B42" s="88" t="s">
        <v>519</v>
      </c>
      <c r="C42" s="356" t="s">
        <v>24</v>
      </c>
      <c r="D42" s="352">
        <f>'MEM.CÁLCULO (3)'!G248</f>
        <v>205.29</v>
      </c>
      <c r="E42" s="365">
        <v>59.30</v>
      </c>
      <c r="F42" s="358">
        <f>E42*D42-0.01</f>
        <v>12173.69</v>
      </c>
      <c r="G42" s="359"/>
      <c r="H42" s="360">
        <f t="shared" si="0"/>
        <v>0</v>
      </c>
      <c r="I42" s="359">
        <v>205.29</v>
      </c>
      <c r="J42" s="360">
        <f>I42*$E42-0.01</f>
        <v>12173.69</v>
      </c>
      <c r="K42" s="359"/>
      <c r="L42" s="360">
        <f t="shared" si="2"/>
        <v>0</v>
      </c>
      <c r="M42" s="359"/>
      <c r="N42" s="360">
        <f t="shared" si="3"/>
        <v>0</v>
      </c>
      <c r="O42" s="359"/>
      <c r="P42" s="360">
        <f t="shared" si="4"/>
        <v>0</v>
      </c>
      <c r="Q42" s="359">
        <f t="shared" si="5"/>
        <v>205.29</v>
      </c>
      <c r="R42" s="360">
        <f t="shared" si="6"/>
        <v>12173.69</v>
      </c>
      <c r="S42" s="361">
        <f t="shared" si="7"/>
        <v>0</v>
      </c>
      <c r="T42" s="362">
        <f t="shared" si="8"/>
        <v>0</v>
      </c>
    </row>
    <row r="43" spans="1:20" ht="13">
      <c r="A43" s="356"/>
      <c r="B43" s="88"/>
      <c r="C43" s="356"/>
      <c r="D43" s="352"/>
      <c r="E43" s="363"/>
      <c r="F43" s="358"/>
      <c r="G43" s="359"/>
      <c r="H43" s="360"/>
      <c r="I43" s="359"/>
      <c r="J43" s="360"/>
      <c r="K43" s="359"/>
      <c r="L43" s="360"/>
      <c r="M43" s="359"/>
      <c r="N43" s="360"/>
      <c r="O43" s="359"/>
      <c r="P43" s="360"/>
      <c r="Q43" s="359"/>
      <c r="R43" s="360"/>
      <c r="S43" s="361"/>
      <c r="T43" s="362"/>
    </row>
    <row r="44" spans="1:20" s="321" customFormat="1" ht="13">
      <c r="A44" s="364" t="s">
        <v>520</v>
      </c>
      <c r="B44" s="373" t="s">
        <v>521</v>
      </c>
      <c r="C44" s="364"/>
      <c r="D44" s="352"/>
      <c r="E44" s="353"/>
      <c r="F44" s="353">
        <f>SUM(F45:F49)</f>
        <v>148770.96</v>
      </c>
      <c r="G44" s="372"/>
      <c r="H44" s="360"/>
      <c r="I44" s="372"/>
      <c r="J44" s="360"/>
      <c r="K44" s="372"/>
      <c r="L44" s="360"/>
      <c r="M44" s="372"/>
      <c r="N44" s="360"/>
      <c r="O44" s="372"/>
      <c r="P44" s="360"/>
      <c r="Q44" s="359"/>
      <c r="R44" s="360"/>
      <c r="S44" s="361"/>
      <c r="T44" s="362"/>
    </row>
    <row r="45" spans="1:20" ht="52">
      <c r="A45" s="356" t="s">
        <v>522</v>
      </c>
      <c r="B45" s="374" t="s">
        <v>523</v>
      </c>
      <c r="C45" s="356" t="s">
        <v>24</v>
      </c>
      <c r="D45" s="352">
        <f>'MEM.CÁLCULO (3)'!F290</f>
        <v>751.48</v>
      </c>
      <c r="E45" s="365">
        <v>70.77</v>
      </c>
      <c r="F45" s="358">
        <f>E45*D45-0.01</f>
        <v>53182.23</v>
      </c>
      <c r="G45" s="359"/>
      <c r="H45" s="360">
        <f t="shared" si="0"/>
        <v>0</v>
      </c>
      <c r="I45" s="359">
        <v>700</v>
      </c>
      <c r="J45" s="360">
        <f t="shared" si="1"/>
        <v>49539</v>
      </c>
      <c r="K45" s="359">
        <v>51.48</v>
      </c>
      <c r="L45" s="360">
        <f>K45*$E45-0.01</f>
        <v>3643.23</v>
      </c>
      <c r="M45" s="359"/>
      <c r="N45" s="360">
        <f t="shared" si="3"/>
        <v>0</v>
      </c>
      <c r="O45" s="359"/>
      <c r="P45" s="360">
        <f t="shared" si="4"/>
        <v>0</v>
      </c>
      <c r="Q45" s="359">
        <f t="shared" si="5"/>
        <v>751.48</v>
      </c>
      <c r="R45" s="360">
        <f t="shared" si="6"/>
        <v>53182.23</v>
      </c>
      <c r="S45" s="361">
        <f t="shared" si="7"/>
        <v>0</v>
      </c>
      <c r="T45" s="362">
        <f t="shared" si="8"/>
        <v>0</v>
      </c>
    </row>
    <row r="46" spans="1:20" ht="39">
      <c r="A46" s="356" t="s">
        <v>524</v>
      </c>
      <c r="B46" s="374" t="s">
        <v>525</v>
      </c>
      <c r="C46" s="356" t="s">
        <v>24</v>
      </c>
      <c r="D46" s="352">
        <f>'MEM.CÁLCULO (3)'!F336</f>
        <v>1569.45</v>
      </c>
      <c r="E46" s="365">
        <v>6.65</v>
      </c>
      <c r="F46" s="358">
        <f>E46*D46</f>
        <v>10436.84</v>
      </c>
      <c r="G46" s="359"/>
      <c r="H46" s="360">
        <f t="shared" si="0"/>
        <v>0</v>
      </c>
      <c r="I46" s="359"/>
      <c r="J46" s="360">
        <f t="shared" si="1"/>
        <v>0</v>
      </c>
      <c r="K46" s="359">
        <v>1569.45</v>
      </c>
      <c r="L46" s="360">
        <f t="shared" si="2"/>
        <v>10436.84</v>
      </c>
      <c r="M46" s="359"/>
      <c r="N46" s="360">
        <f t="shared" si="3"/>
        <v>0</v>
      </c>
      <c r="O46" s="359"/>
      <c r="P46" s="360">
        <f t="shared" si="4"/>
        <v>0</v>
      </c>
      <c r="Q46" s="359">
        <f t="shared" si="5"/>
        <v>1569.45</v>
      </c>
      <c r="R46" s="360">
        <f t="shared" si="6"/>
        <v>10436.84</v>
      </c>
      <c r="S46" s="361">
        <f t="shared" si="7"/>
        <v>0</v>
      </c>
      <c r="T46" s="362">
        <f t="shared" si="8"/>
        <v>0</v>
      </c>
    </row>
    <row r="47" spans="1:20" ht="39">
      <c r="A47" s="356" t="s">
        <v>526</v>
      </c>
      <c r="B47" s="374" t="s">
        <v>527</v>
      </c>
      <c r="C47" s="356" t="s">
        <v>24</v>
      </c>
      <c r="D47" s="352">
        <f>'MEM.CÁLCULO (3)'!F382</f>
        <v>1307.26</v>
      </c>
      <c r="E47" s="365">
        <v>35.61</v>
      </c>
      <c r="F47" s="358">
        <f>E47*D47-0.01</f>
        <v>46551.52</v>
      </c>
      <c r="G47" s="359"/>
      <c r="H47" s="360">
        <f t="shared" si="0"/>
        <v>0</v>
      </c>
      <c r="I47" s="359"/>
      <c r="J47" s="360">
        <f t="shared" si="1"/>
        <v>0</v>
      </c>
      <c r="K47" s="359">
        <v>1307.26</v>
      </c>
      <c r="L47" s="360">
        <f>K47*$E47-0.01</f>
        <v>46551.52</v>
      </c>
      <c r="M47" s="359"/>
      <c r="N47" s="360">
        <f t="shared" si="3"/>
        <v>0</v>
      </c>
      <c r="O47" s="359"/>
      <c r="P47" s="360">
        <f t="shared" si="4"/>
        <v>0</v>
      </c>
      <c r="Q47" s="359">
        <f t="shared" si="5"/>
        <v>1307.26</v>
      </c>
      <c r="R47" s="360">
        <f t="shared" si="6"/>
        <v>46551.52</v>
      </c>
      <c r="S47" s="361">
        <f t="shared" si="7"/>
        <v>0</v>
      </c>
      <c r="T47" s="362">
        <f t="shared" si="8"/>
        <v>0</v>
      </c>
    </row>
    <row r="48" spans="1:20" ht="39">
      <c r="A48" s="356" t="s">
        <v>528</v>
      </c>
      <c r="B48" s="374" t="s">
        <v>529</v>
      </c>
      <c r="C48" s="356" t="s">
        <v>24</v>
      </c>
      <c r="D48" s="352">
        <f>'MEM.CÁLCULO (3)'!F401</f>
        <v>269.33</v>
      </c>
      <c r="E48" s="365">
        <v>56.56</v>
      </c>
      <c r="F48" s="358">
        <f>E48*D48</f>
        <v>15233.30</v>
      </c>
      <c r="G48" s="359"/>
      <c r="H48" s="360">
        <f t="shared" si="0"/>
        <v>0</v>
      </c>
      <c r="I48" s="359"/>
      <c r="J48" s="360">
        <f t="shared" si="1"/>
        <v>0</v>
      </c>
      <c r="K48" s="359">
        <v>269.33</v>
      </c>
      <c r="L48" s="360">
        <f t="shared" si="2"/>
        <v>15233.30</v>
      </c>
      <c r="M48" s="359"/>
      <c r="N48" s="360">
        <f t="shared" si="3"/>
        <v>0</v>
      </c>
      <c r="O48" s="359"/>
      <c r="P48" s="360">
        <f t="shared" si="4"/>
        <v>0</v>
      </c>
      <c r="Q48" s="359">
        <f t="shared" si="5"/>
        <v>269.33</v>
      </c>
      <c r="R48" s="360">
        <f t="shared" si="6"/>
        <v>15233.30</v>
      </c>
      <c r="S48" s="361">
        <f t="shared" si="7"/>
        <v>0</v>
      </c>
      <c r="T48" s="362">
        <f t="shared" si="8"/>
        <v>0</v>
      </c>
    </row>
    <row r="49" spans="1:20" ht="52">
      <c r="A49" s="356" t="s">
        <v>530</v>
      </c>
      <c r="B49" s="374" t="s">
        <v>531</v>
      </c>
      <c r="C49" s="356" t="s">
        <v>24</v>
      </c>
      <c r="D49" s="352">
        <f>'MEM.CÁLCULO (3)'!F420</f>
        <v>269.33</v>
      </c>
      <c r="E49" s="365">
        <v>86.76</v>
      </c>
      <c r="F49" s="358">
        <f>E49*D49</f>
        <v>23367.07</v>
      </c>
      <c r="G49" s="359"/>
      <c r="H49" s="360">
        <f t="shared" si="0"/>
        <v>0</v>
      </c>
      <c r="I49" s="359"/>
      <c r="J49" s="360">
        <f t="shared" si="1"/>
        <v>0</v>
      </c>
      <c r="K49" s="359"/>
      <c r="L49" s="360">
        <f t="shared" si="2"/>
        <v>0</v>
      </c>
      <c r="M49" s="359"/>
      <c r="N49" s="360">
        <f t="shared" si="3"/>
        <v>0</v>
      </c>
      <c r="O49" s="359"/>
      <c r="P49" s="360">
        <f t="shared" si="4"/>
        <v>0</v>
      </c>
      <c r="Q49" s="359">
        <f t="shared" si="5"/>
        <v>0</v>
      </c>
      <c r="R49" s="360">
        <f t="shared" si="6"/>
        <v>0</v>
      </c>
      <c r="S49" s="361">
        <f t="shared" si="7"/>
        <v>269.33</v>
      </c>
      <c r="T49" s="362">
        <f t="shared" si="8"/>
        <v>23367.07</v>
      </c>
    </row>
    <row r="50" spans="1:20" ht="13">
      <c r="A50" s="356"/>
      <c r="B50" s="88"/>
      <c r="C50" s="356"/>
      <c r="D50" s="352"/>
      <c r="E50" s="363"/>
      <c r="F50" s="358"/>
      <c r="G50" s="359"/>
      <c r="H50" s="360"/>
      <c r="I50" s="359"/>
      <c r="J50" s="360"/>
      <c r="K50" s="359"/>
      <c r="L50" s="360"/>
      <c r="M50" s="359"/>
      <c r="N50" s="360"/>
      <c r="O50" s="359"/>
      <c r="P50" s="360"/>
      <c r="Q50" s="359"/>
      <c r="R50" s="360"/>
      <c r="S50" s="361"/>
      <c r="T50" s="362"/>
    </row>
    <row r="51" spans="1:20" ht="13">
      <c r="A51" s="364" t="s">
        <v>532</v>
      </c>
      <c r="B51" s="371" t="s">
        <v>533</v>
      </c>
      <c r="C51" s="356"/>
      <c r="D51" s="352"/>
      <c r="E51" s="353"/>
      <c r="F51" s="353">
        <f>SUM(F52:F62)</f>
        <v>52708.44</v>
      </c>
      <c r="G51" s="359"/>
      <c r="H51" s="360"/>
      <c r="I51" s="359"/>
      <c r="J51" s="360"/>
      <c r="K51" s="359"/>
      <c r="L51" s="360"/>
      <c r="M51" s="359"/>
      <c r="N51" s="360"/>
      <c r="O51" s="359"/>
      <c r="P51" s="360"/>
      <c r="Q51" s="359"/>
      <c r="R51" s="360"/>
      <c r="S51" s="361"/>
      <c r="T51" s="362"/>
    </row>
    <row r="52" spans="1:21" ht="39">
      <c r="A52" s="356" t="s">
        <v>534</v>
      </c>
      <c r="B52" s="375" t="s">
        <v>535</v>
      </c>
      <c r="C52" s="356" t="s">
        <v>34</v>
      </c>
      <c r="D52" s="352">
        <f>'MEM.CÁLCULO (3)'!C427</f>
        <v>22</v>
      </c>
      <c r="E52" s="352">
        <v>480.47</v>
      </c>
      <c r="F52" s="358">
        <f>E52*D52</f>
        <v>10570.34</v>
      </c>
      <c r="G52" s="359"/>
      <c r="H52" s="360">
        <f t="shared" si="0"/>
        <v>0</v>
      </c>
      <c r="I52" s="359"/>
      <c r="J52" s="360">
        <f t="shared" si="1"/>
        <v>0</v>
      </c>
      <c r="K52" s="359"/>
      <c r="L52" s="360">
        <f t="shared" si="2"/>
        <v>0</v>
      </c>
      <c r="M52" s="359"/>
      <c r="N52" s="360">
        <f t="shared" si="3"/>
        <v>0</v>
      </c>
      <c r="O52" s="359"/>
      <c r="P52" s="360">
        <f t="shared" si="4"/>
        <v>0</v>
      </c>
      <c r="Q52" s="359">
        <f t="shared" si="5"/>
        <v>0</v>
      </c>
      <c r="R52" s="360">
        <f t="shared" si="6"/>
        <v>0</v>
      </c>
      <c r="S52" s="361">
        <f t="shared" si="7"/>
        <v>22</v>
      </c>
      <c r="T52" s="362">
        <f t="shared" si="8"/>
        <v>10570.34</v>
      </c>
      <c r="U52" s="376"/>
    </row>
    <row r="53" spans="1:20" ht="39">
      <c r="A53" s="356" t="s">
        <v>536</v>
      </c>
      <c r="B53" s="375" t="s">
        <v>70</v>
      </c>
      <c r="C53" s="356" t="s">
        <v>24</v>
      </c>
      <c r="D53" s="352">
        <f>'MEM.CÁLCULO (3)'!F433</f>
        <v>7.56</v>
      </c>
      <c r="E53" s="352">
        <v>575.04999999999995</v>
      </c>
      <c r="F53" s="358">
        <f>E53*D53-0.01</f>
        <v>4347.37</v>
      </c>
      <c r="G53" s="359"/>
      <c r="H53" s="360">
        <f t="shared" si="0"/>
        <v>0</v>
      </c>
      <c r="I53" s="359"/>
      <c r="J53" s="360">
        <f t="shared" si="1"/>
        <v>0</v>
      </c>
      <c r="K53" s="359"/>
      <c r="L53" s="360">
        <f t="shared" si="2"/>
        <v>0</v>
      </c>
      <c r="M53" s="359"/>
      <c r="N53" s="360">
        <f t="shared" si="3"/>
        <v>0</v>
      </c>
      <c r="O53" s="359"/>
      <c r="P53" s="360">
        <f t="shared" si="4"/>
        <v>0</v>
      </c>
      <c r="Q53" s="359">
        <f t="shared" si="5"/>
        <v>0</v>
      </c>
      <c r="R53" s="360">
        <f t="shared" si="6"/>
        <v>0</v>
      </c>
      <c r="S53" s="361">
        <f t="shared" si="7"/>
        <v>7.56</v>
      </c>
      <c r="T53" s="362">
        <f t="shared" si="8"/>
        <v>4347.37</v>
      </c>
    </row>
    <row r="54" spans="1:20" ht="39">
      <c r="A54" s="356" t="s">
        <v>537</v>
      </c>
      <c r="B54" s="375" t="s">
        <v>538</v>
      </c>
      <c r="C54" s="356" t="s">
        <v>34</v>
      </c>
      <c r="D54" s="352">
        <f>'MEM.CÁLCULO (3)'!C438</f>
        <v>2</v>
      </c>
      <c r="E54" s="352">
        <v>591.69000000000005</v>
      </c>
      <c r="F54" s="358">
        <f>E54*D54</f>
        <v>1183.3800000000001</v>
      </c>
      <c r="G54" s="359"/>
      <c r="H54" s="360">
        <f t="shared" si="0"/>
        <v>0</v>
      </c>
      <c r="I54" s="359"/>
      <c r="J54" s="360">
        <f t="shared" si="1"/>
        <v>0</v>
      </c>
      <c r="K54" s="359"/>
      <c r="L54" s="360">
        <f t="shared" si="2"/>
        <v>0</v>
      </c>
      <c r="M54" s="359"/>
      <c r="N54" s="360">
        <f t="shared" si="3"/>
        <v>0</v>
      </c>
      <c r="O54" s="359"/>
      <c r="P54" s="360">
        <f t="shared" si="4"/>
        <v>0</v>
      </c>
      <c r="Q54" s="359">
        <f t="shared" si="5"/>
        <v>0</v>
      </c>
      <c r="R54" s="360">
        <f t="shared" si="6"/>
        <v>0</v>
      </c>
      <c r="S54" s="361">
        <f t="shared" si="7"/>
        <v>2</v>
      </c>
      <c r="T54" s="362">
        <f t="shared" si="8"/>
        <v>1183.3800000000001</v>
      </c>
    </row>
    <row r="55" spans="1:20" ht="26">
      <c r="A55" s="356" t="s">
        <v>539</v>
      </c>
      <c r="B55" s="375" t="s">
        <v>540</v>
      </c>
      <c r="C55" s="356" t="s">
        <v>24</v>
      </c>
      <c r="D55" s="352">
        <f>'MEM.CÁLCULO (3)'!F447</f>
        <v>14.78</v>
      </c>
      <c r="E55" s="352">
        <v>433.15</v>
      </c>
      <c r="F55" s="358">
        <f>E55*D55-0.01</f>
        <v>6401.95</v>
      </c>
      <c r="G55" s="359"/>
      <c r="H55" s="360">
        <f t="shared" si="0"/>
        <v>0</v>
      </c>
      <c r="I55" s="359"/>
      <c r="J55" s="360">
        <f t="shared" si="1"/>
        <v>0</v>
      </c>
      <c r="K55" s="359"/>
      <c r="L55" s="360">
        <f t="shared" si="2"/>
        <v>0</v>
      </c>
      <c r="M55" s="359"/>
      <c r="N55" s="360">
        <f t="shared" si="3"/>
        <v>0</v>
      </c>
      <c r="O55" s="359"/>
      <c r="P55" s="360">
        <f t="shared" si="4"/>
        <v>0</v>
      </c>
      <c r="Q55" s="359">
        <f t="shared" si="5"/>
        <v>0</v>
      </c>
      <c r="R55" s="360">
        <f t="shared" si="6"/>
        <v>0</v>
      </c>
      <c r="S55" s="361">
        <f t="shared" si="7"/>
        <v>14.78</v>
      </c>
      <c r="T55" s="362">
        <f t="shared" si="8"/>
        <v>6401.95</v>
      </c>
    </row>
    <row r="56" spans="1:20" ht="26">
      <c r="A56" s="356" t="s">
        <v>541</v>
      </c>
      <c r="B56" s="375" t="s">
        <v>542</v>
      </c>
      <c r="C56" s="356" t="s">
        <v>24</v>
      </c>
      <c r="D56" s="352">
        <f>'MEM.CÁLCULO (3)'!F452</f>
        <v>8</v>
      </c>
      <c r="E56" s="352">
        <v>1354.16</v>
      </c>
      <c r="F56" s="358">
        <f t="shared" si="9" ref="F56:F62">E56*D56</f>
        <v>10833.28</v>
      </c>
      <c r="G56" s="359"/>
      <c r="H56" s="360">
        <f t="shared" si="0"/>
        <v>0</v>
      </c>
      <c r="I56" s="359"/>
      <c r="J56" s="360">
        <f t="shared" si="1"/>
        <v>0</v>
      </c>
      <c r="K56" s="359"/>
      <c r="L56" s="360">
        <f t="shared" si="2"/>
        <v>0</v>
      </c>
      <c r="M56" s="359"/>
      <c r="N56" s="360">
        <f t="shared" si="3"/>
        <v>0</v>
      </c>
      <c r="O56" s="359"/>
      <c r="P56" s="360">
        <f t="shared" si="4"/>
        <v>0</v>
      </c>
      <c r="Q56" s="359">
        <f t="shared" si="5"/>
        <v>0</v>
      </c>
      <c r="R56" s="360">
        <f t="shared" si="6"/>
        <v>0</v>
      </c>
      <c r="S56" s="361">
        <f t="shared" si="7"/>
        <v>8</v>
      </c>
      <c r="T56" s="362">
        <f t="shared" si="8"/>
        <v>10833.28</v>
      </c>
    </row>
    <row r="57" spans="1:20" ht="39">
      <c r="A57" s="356" t="s">
        <v>543</v>
      </c>
      <c r="B57" s="375" t="s">
        <v>544</v>
      </c>
      <c r="C57" s="356" t="s">
        <v>24</v>
      </c>
      <c r="D57" s="352">
        <f>'MEM.CÁLCULO (3)'!F458</f>
        <v>6</v>
      </c>
      <c r="E57" s="352">
        <v>614.90</v>
      </c>
      <c r="F57" s="358">
        <f t="shared" si="9"/>
        <v>3689.40</v>
      </c>
      <c r="G57" s="359"/>
      <c r="H57" s="360">
        <f t="shared" si="0"/>
        <v>0</v>
      </c>
      <c r="I57" s="359"/>
      <c r="J57" s="360">
        <f t="shared" si="1"/>
        <v>0</v>
      </c>
      <c r="K57" s="359"/>
      <c r="L57" s="360">
        <f t="shared" si="2"/>
        <v>0</v>
      </c>
      <c r="M57" s="359"/>
      <c r="N57" s="360">
        <f t="shared" si="3"/>
        <v>0</v>
      </c>
      <c r="O57" s="359"/>
      <c r="P57" s="360">
        <f t="shared" si="4"/>
        <v>0</v>
      </c>
      <c r="Q57" s="359">
        <f t="shared" si="5"/>
        <v>0</v>
      </c>
      <c r="R57" s="360">
        <f t="shared" si="6"/>
        <v>0</v>
      </c>
      <c r="S57" s="361">
        <f t="shared" si="7"/>
        <v>6</v>
      </c>
      <c r="T57" s="362">
        <f t="shared" si="8"/>
        <v>3689.40</v>
      </c>
    </row>
    <row r="58" spans="1:20" ht="52">
      <c r="A58" s="356" t="s">
        <v>545</v>
      </c>
      <c r="B58" s="375" t="s">
        <v>546</v>
      </c>
      <c r="C58" s="356" t="s">
        <v>24</v>
      </c>
      <c r="D58" s="352">
        <f>'MEM.CÁLCULO (3)'!F463</f>
        <v>18</v>
      </c>
      <c r="E58" s="352">
        <v>313.48</v>
      </c>
      <c r="F58" s="358">
        <f t="shared" si="9"/>
        <v>5642.64</v>
      </c>
      <c r="G58" s="359"/>
      <c r="H58" s="360">
        <f t="shared" si="0"/>
        <v>0</v>
      </c>
      <c r="I58" s="359"/>
      <c r="J58" s="360">
        <f t="shared" si="1"/>
        <v>0</v>
      </c>
      <c r="K58" s="359"/>
      <c r="L58" s="360">
        <f t="shared" si="2"/>
        <v>0</v>
      </c>
      <c r="M58" s="359"/>
      <c r="N58" s="360">
        <f t="shared" si="3"/>
        <v>0</v>
      </c>
      <c r="O58" s="359"/>
      <c r="P58" s="360">
        <f t="shared" si="4"/>
        <v>0</v>
      </c>
      <c r="Q58" s="359">
        <f t="shared" si="5"/>
        <v>0</v>
      </c>
      <c r="R58" s="360">
        <f t="shared" si="6"/>
        <v>0</v>
      </c>
      <c r="S58" s="361">
        <f t="shared" si="7"/>
        <v>18</v>
      </c>
      <c r="T58" s="362">
        <f t="shared" si="8"/>
        <v>5642.64</v>
      </c>
    </row>
    <row r="59" spans="1:20" ht="26">
      <c r="A59" s="356" t="s">
        <v>547</v>
      </c>
      <c r="B59" s="375" t="s">
        <v>548</v>
      </c>
      <c r="C59" s="356" t="s">
        <v>29</v>
      </c>
      <c r="D59" s="352">
        <f>'MEM.CÁLCULO (3)'!D473</f>
        <v>33</v>
      </c>
      <c r="E59" s="352">
        <v>181.06</v>
      </c>
      <c r="F59" s="358">
        <f t="shared" si="9"/>
        <v>5974.98</v>
      </c>
      <c r="G59" s="359"/>
      <c r="H59" s="360">
        <f t="shared" si="0"/>
        <v>0</v>
      </c>
      <c r="I59" s="359"/>
      <c r="J59" s="360">
        <f t="shared" si="1"/>
        <v>0</v>
      </c>
      <c r="K59" s="359"/>
      <c r="L59" s="360">
        <f t="shared" si="2"/>
        <v>0</v>
      </c>
      <c r="M59" s="359"/>
      <c r="N59" s="360">
        <f t="shared" si="3"/>
        <v>0</v>
      </c>
      <c r="O59" s="359"/>
      <c r="P59" s="360">
        <f t="shared" si="4"/>
        <v>0</v>
      </c>
      <c r="Q59" s="359">
        <f t="shared" si="5"/>
        <v>0</v>
      </c>
      <c r="R59" s="360">
        <f t="shared" si="6"/>
        <v>0</v>
      </c>
      <c r="S59" s="361">
        <f t="shared" si="7"/>
        <v>33</v>
      </c>
      <c r="T59" s="362">
        <f t="shared" si="8"/>
        <v>5974.98</v>
      </c>
    </row>
    <row r="60" spans="1:20" ht="39">
      <c r="A60" s="356" t="s">
        <v>549</v>
      </c>
      <c r="B60" s="377" t="s">
        <v>550</v>
      </c>
      <c r="C60" s="356" t="s">
        <v>29</v>
      </c>
      <c r="D60" s="352">
        <f>'MEM.CÁLCULO (3)'!D480</f>
        <v>3</v>
      </c>
      <c r="E60" s="352">
        <v>201.46</v>
      </c>
      <c r="F60" s="358">
        <f t="shared" si="9"/>
        <v>604.38</v>
      </c>
      <c r="G60" s="359"/>
      <c r="H60" s="360">
        <f t="shared" si="0"/>
        <v>0</v>
      </c>
      <c r="I60" s="359"/>
      <c r="J60" s="360">
        <f t="shared" si="1"/>
        <v>0</v>
      </c>
      <c r="K60" s="359"/>
      <c r="L60" s="360">
        <f t="shared" si="2"/>
        <v>0</v>
      </c>
      <c r="M60" s="359"/>
      <c r="N60" s="360">
        <f t="shared" si="3"/>
        <v>0</v>
      </c>
      <c r="O60" s="359"/>
      <c r="P60" s="360">
        <f t="shared" si="4"/>
        <v>0</v>
      </c>
      <c r="Q60" s="359">
        <f t="shared" si="5"/>
        <v>0</v>
      </c>
      <c r="R60" s="360">
        <f t="shared" si="6"/>
        <v>0</v>
      </c>
      <c r="S60" s="361">
        <f t="shared" si="7"/>
        <v>3</v>
      </c>
      <c r="T60" s="362">
        <f t="shared" si="8"/>
        <v>604.38</v>
      </c>
    </row>
    <row r="61" spans="1:20" ht="39">
      <c r="A61" s="356" t="s">
        <v>551</v>
      </c>
      <c r="B61" s="377" t="s">
        <v>552</v>
      </c>
      <c r="C61" s="356" t="s">
        <v>34</v>
      </c>
      <c r="D61" s="352">
        <f>'MEM.CÁLCULO (3)'!C489</f>
        <v>32</v>
      </c>
      <c r="E61" s="352">
        <v>104.31</v>
      </c>
      <c r="F61" s="358">
        <f t="shared" si="9"/>
        <v>3337.92</v>
      </c>
      <c r="G61" s="359"/>
      <c r="H61" s="360">
        <f t="shared" si="0"/>
        <v>0</v>
      </c>
      <c r="I61" s="359"/>
      <c r="J61" s="360">
        <f t="shared" si="1"/>
        <v>0</v>
      </c>
      <c r="K61" s="359"/>
      <c r="L61" s="360">
        <f t="shared" si="2"/>
        <v>0</v>
      </c>
      <c r="M61" s="359"/>
      <c r="N61" s="360">
        <f t="shared" si="3"/>
        <v>0</v>
      </c>
      <c r="O61" s="359"/>
      <c r="P61" s="360">
        <f t="shared" si="4"/>
        <v>0</v>
      </c>
      <c r="Q61" s="359">
        <f t="shared" si="5"/>
        <v>0</v>
      </c>
      <c r="R61" s="360">
        <f t="shared" si="6"/>
        <v>0</v>
      </c>
      <c r="S61" s="361">
        <f t="shared" si="7"/>
        <v>32</v>
      </c>
      <c r="T61" s="362">
        <f t="shared" si="8"/>
        <v>3337.92</v>
      </c>
    </row>
    <row r="62" spans="1:20" ht="13">
      <c r="A62" s="356" t="s">
        <v>553</v>
      </c>
      <c r="B62" s="377" t="s">
        <v>554</v>
      </c>
      <c r="C62" s="356" t="s">
        <v>34</v>
      </c>
      <c r="D62" s="352">
        <f>'MEM.CÁLCULO (3)'!C494</f>
        <v>1</v>
      </c>
      <c r="E62" s="352">
        <v>122.80</v>
      </c>
      <c r="F62" s="358">
        <f t="shared" si="9"/>
        <v>122.80</v>
      </c>
      <c r="G62" s="359"/>
      <c r="H62" s="360">
        <f t="shared" si="0"/>
        <v>0</v>
      </c>
      <c r="I62" s="359"/>
      <c r="J62" s="360">
        <f t="shared" si="1"/>
        <v>0</v>
      </c>
      <c r="K62" s="359"/>
      <c r="L62" s="360">
        <f t="shared" si="2"/>
        <v>0</v>
      </c>
      <c r="M62" s="359"/>
      <c r="N62" s="360">
        <f t="shared" si="3"/>
        <v>0</v>
      </c>
      <c r="O62" s="359"/>
      <c r="P62" s="360">
        <f t="shared" si="4"/>
        <v>0</v>
      </c>
      <c r="Q62" s="359">
        <f t="shared" si="5"/>
        <v>0</v>
      </c>
      <c r="R62" s="360">
        <f t="shared" si="6"/>
        <v>0</v>
      </c>
      <c r="S62" s="361">
        <f t="shared" si="7"/>
        <v>1</v>
      </c>
      <c r="T62" s="362">
        <f t="shared" si="8"/>
        <v>122.80</v>
      </c>
    </row>
    <row r="63" spans="1:20" ht="13">
      <c r="A63" s="378"/>
      <c r="B63" s="375"/>
      <c r="C63" s="356"/>
      <c r="D63" s="352"/>
      <c r="E63" s="363"/>
      <c r="F63" s="358"/>
      <c r="G63" s="359"/>
      <c r="H63" s="360"/>
      <c r="I63" s="359"/>
      <c r="J63" s="360"/>
      <c r="K63" s="359"/>
      <c r="L63" s="360"/>
      <c r="M63" s="359"/>
      <c r="N63" s="360"/>
      <c r="O63" s="359"/>
      <c r="P63" s="360"/>
      <c r="Q63" s="359"/>
      <c r="R63" s="360"/>
      <c r="S63" s="361"/>
      <c r="T63" s="362"/>
    </row>
    <row r="64" spans="1:20" s="321" customFormat="1" ht="13">
      <c r="A64" s="364" t="s">
        <v>555</v>
      </c>
      <c r="B64" s="371" t="s">
        <v>556</v>
      </c>
      <c r="C64" s="364"/>
      <c r="D64" s="352"/>
      <c r="E64" s="353"/>
      <c r="F64" s="353">
        <f>SUM(F65:F72)</f>
        <v>126417.52</v>
      </c>
      <c r="G64" s="372"/>
      <c r="H64" s="360"/>
      <c r="I64" s="372"/>
      <c r="J64" s="360"/>
      <c r="K64" s="372"/>
      <c r="L64" s="360"/>
      <c r="M64" s="372"/>
      <c r="N64" s="360"/>
      <c r="O64" s="372"/>
      <c r="P64" s="360"/>
      <c r="Q64" s="359"/>
      <c r="R64" s="360"/>
      <c r="S64" s="361"/>
      <c r="T64" s="362"/>
    </row>
    <row r="65" spans="1:20" ht="36.75" customHeight="1">
      <c r="A65" s="356" t="s">
        <v>557</v>
      </c>
      <c r="B65" s="88" t="s">
        <v>558</v>
      </c>
      <c r="C65" s="356" t="s">
        <v>24</v>
      </c>
      <c r="D65" s="352">
        <f>'MEM.CÁLCULO (3)'!C501</f>
        <v>327</v>
      </c>
      <c r="E65" s="352">
        <v>90.30</v>
      </c>
      <c r="F65" s="358">
        <f t="shared" si="10" ref="F65:F72">E65*D65</f>
        <v>29528.10</v>
      </c>
      <c r="G65" s="359"/>
      <c r="H65" s="360">
        <f t="shared" si="0"/>
        <v>0</v>
      </c>
      <c r="I65" s="359"/>
      <c r="J65" s="360">
        <f t="shared" si="1"/>
        <v>0</v>
      </c>
      <c r="K65" s="359"/>
      <c r="L65" s="360">
        <f t="shared" si="2"/>
        <v>0</v>
      </c>
      <c r="M65" s="359"/>
      <c r="N65" s="360">
        <f t="shared" si="3"/>
        <v>0</v>
      </c>
      <c r="O65" s="359"/>
      <c r="P65" s="360">
        <f t="shared" si="4"/>
        <v>0</v>
      </c>
      <c r="Q65" s="359">
        <f t="shared" si="5"/>
        <v>0</v>
      </c>
      <c r="R65" s="360">
        <f t="shared" si="6"/>
        <v>0</v>
      </c>
      <c r="S65" s="361">
        <f t="shared" si="7"/>
        <v>327</v>
      </c>
      <c r="T65" s="362">
        <f t="shared" si="8"/>
        <v>29528.10</v>
      </c>
    </row>
    <row r="66" spans="1:20" ht="26">
      <c r="A66" s="356" t="s">
        <v>559</v>
      </c>
      <c r="B66" s="88" t="s">
        <v>560</v>
      </c>
      <c r="C66" s="356" t="s">
        <v>24</v>
      </c>
      <c r="D66" s="352">
        <f>'MEM.CÁLCULO (3)'!C506</f>
        <v>327</v>
      </c>
      <c r="E66" s="352">
        <v>65.400000000000006</v>
      </c>
      <c r="F66" s="358">
        <f t="shared" si="10"/>
        <v>21385.80</v>
      </c>
      <c r="G66" s="359"/>
      <c r="H66" s="360">
        <f t="shared" si="0"/>
        <v>0</v>
      </c>
      <c r="I66" s="359"/>
      <c r="J66" s="360">
        <f t="shared" si="1"/>
        <v>0</v>
      </c>
      <c r="K66" s="359"/>
      <c r="L66" s="360">
        <f t="shared" si="2"/>
        <v>0</v>
      </c>
      <c r="M66" s="359"/>
      <c r="N66" s="360">
        <f t="shared" si="3"/>
        <v>0</v>
      </c>
      <c r="O66" s="359"/>
      <c r="P66" s="360">
        <f t="shared" si="4"/>
        <v>0</v>
      </c>
      <c r="Q66" s="359">
        <f t="shared" si="5"/>
        <v>0</v>
      </c>
      <c r="R66" s="360">
        <f t="shared" si="6"/>
        <v>0</v>
      </c>
      <c r="S66" s="361">
        <f t="shared" si="7"/>
        <v>327</v>
      </c>
      <c r="T66" s="362">
        <f t="shared" si="8"/>
        <v>21385.80</v>
      </c>
    </row>
    <row r="67" spans="1:20" ht="13">
      <c r="A67" s="356" t="s">
        <v>561</v>
      </c>
      <c r="B67" s="88" t="s">
        <v>562</v>
      </c>
      <c r="C67" s="356" t="s">
        <v>24</v>
      </c>
      <c r="D67" s="352">
        <f>'MEM.CÁLCULO (3)'!C511</f>
        <v>327</v>
      </c>
      <c r="E67" s="352">
        <v>28.62</v>
      </c>
      <c r="F67" s="358">
        <f t="shared" si="10"/>
        <v>9358.74</v>
      </c>
      <c r="G67" s="359"/>
      <c r="H67" s="360">
        <f t="shared" si="0"/>
        <v>0</v>
      </c>
      <c r="I67" s="359"/>
      <c r="J67" s="360">
        <f t="shared" si="1"/>
        <v>0</v>
      </c>
      <c r="K67" s="359"/>
      <c r="L67" s="360">
        <f t="shared" si="2"/>
        <v>0</v>
      </c>
      <c r="M67" s="359"/>
      <c r="N67" s="360">
        <f t="shared" si="3"/>
        <v>0</v>
      </c>
      <c r="O67" s="359"/>
      <c r="P67" s="360">
        <f t="shared" si="4"/>
        <v>0</v>
      </c>
      <c r="Q67" s="359">
        <f t="shared" si="5"/>
        <v>0</v>
      </c>
      <c r="R67" s="360">
        <f t="shared" si="6"/>
        <v>0</v>
      </c>
      <c r="S67" s="361">
        <f t="shared" si="7"/>
        <v>327</v>
      </c>
      <c r="T67" s="362">
        <f t="shared" si="8"/>
        <v>9358.74</v>
      </c>
    </row>
    <row r="68" spans="1:20" ht="26">
      <c r="A68" s="356" t="s">
        <v>563</v>
      </c>
      <c r="B68" s="88" t="s">
        <v>564</v>
      </c>
      <c r="C68" s="356" t="s">
        <v>24</v>
      </c>
      <c r="D68" s="352">
        <f>'MEM.CÁLCULO (3)'!C516</f>
        <v>25</v>
      </c>
      <c r="E68" s="352">
        <v>751.02</v>
      </c>
      <c r="F68" s="358">
        <f t="shared" si="10"/>
        <v>18775.50</v>
      </c>
      <c r="G68" s="359"/>
      <c r="H68" s="360">
        <f t="shared" si="0"/>
        <v>0</v>
      </c>
      <c r="I68" s="359"/>
      <c r="J68" s="360">
        <f t="shared" si="1"/>
        <v>0</v>
      </c>
      <c r="K68" s="359"/>
      <c r="L68" s="360">
        <f t="shared" si="2"/>
        <v>0</v>
      </c>
      <c r="M68" s="359"/>
      <c r="N68" s="360">
        <f t="shared" si="3"/>
        <v>0</v>
      </c>
      <c r="O68" s="359"/>
      <c r="P68" s="360">
        <f t="shared" si="4"/>
        <v>0</v>
      </c>
      <c r="Q68" s="359">
        <f t="shared" si="5"/>
        <v>0</v>
      </c>
      <c r="R68" s="360">
        <f t="shared" si="6"/>
        <v>0</v>
      </c>
      <c r="S68" s="361">
        <f t="shared" si="7"/>
        <v>25</v>
      </c>
      <c r="T68" s="362">
        <f t="shared" si="8"/>
        <v>18775.50</v>
      </c>
    </row>
    <row r="69" spans="1:20" ht="26">
      <c r="A69" s="356" t="s">
        <v>565</v>
      </c>
      <c r="B69" s="88" t="s">
        <v>566</v>
      </c>
      <c r="C69" s="356" t="s">
        <v>24</v>
      </c>
      <c r="D69" s="352">
        <f>'MEM.CÁLCULO (3)'!C551</f>
        <v>292.14</v>
      </c>
      <c r="E69" s="352">
        <v>122.32</v>
      </c>
      <c r="F69" s="358">
        <f t="shared" si="10"/>
        <v>35734.56</v>
      </c>
      <c r="G69" s="359"/>
      <c r="H69" s="360">
        <f t="shared" si="0"/>
        <v>0</v>
      </c>
      <c r="I69" s="359"/>
      <c r="J69" s="360">
        <f t="shared" si="1"/>
        <v>0</v>
      </c>
      <c r="K69" s="359"/>
      <c r="L69" s="360">
        <f t="shared" si="2"/>
        <v>0</v>
      </c>
      <c r="M69" s="359"/>
      <c r="N69" s="360">
        <f t="shared" si="3"/>
        <v>0</v>
      </c>
      <c r="O69" s="359"/>
      <c r="P69" s="360">
        <f t="shared" si="4"/>
        <v>0</v>
      </c>
      <c r="Q69" s="359">
        <f t="shared" si="5"/>
        <v>0</v>
      </c>
      <c r="R69" s="360">
        <f t="shared" si="6"/>
        <v>0</v>
      </c>
      <c r="S69" s="361">
        <f t="shared" si="7"/>
        <v>292.14</v>
      </c>
      <c r="T69" s="362">
        <f t="shared" si="8"/>
        <v>35734.56</v>
      </c>
    </row>
    <row r="70" spans="1:20" ht="39">
      <c r="A70" s="356" t="s">
        <v>567</v>
      </c>
      <c r="B70" s="88" t="s">
        <v>568</v>
      </c>
      <c r="C70" s="356" t="s">
        <v>29</v>
      </c>
      <c r="D70" s="352">
        <f>'MEM.CÁLCULO (3)'!C556</f>
        <v>75</v>
      </c>
      <c r="E70" s="352">
        <v>113.77</v>
      </c>
      <c r="F70" s="358">
        <f t="shared" si="10"/>
        <v>8532.75</v>
      </c>
      <c r="G70" s="359"/>
      <c r="H70" s="360">
        <f t="shared" si="0"/>
        <v>0</v>
      </c>
      <c r="I70" s="359"/>
      <c r="J70" s="360">
        <f t="shared" si="1"/>
        <v>0</v>
      </c>
      <c r="K70" s="359"/>
      <c r="L70" s="360">
        <f t="shared" si="2"/>
        <v>0</v>
      </c>
      <c r="M70" s="359"/>
      <c r="N70" s="360">
        <f t="shared" si="3"/>
        <v>0</v>
      </c>
      <c r="O70" s="359"/>
      <c r="P70" s="360">
        <f t="shared" si="4"/>
        <v>0</v>
      </c>
      <c r="Q70" s="359">
        <f t="shared" si="5"/>
        <v>0</v>
      </c>
      <c r="R70" s="360">
        <f t="shared" si="6"/>
        <v>0</v>
      </c>
      <c r="S70" s="361">
        <f t="shared" si="7"/>
        <v>75</v>
      </c>
      <c r="T70" s="362">
        <f t="shared" si="8"/>
        <v>8532.75</v>
      </c>
    </row>
    <row r="71" spans="1:20" ht="26">
      <c r="A71" s="356" t="s">
        <v>569</v>
      </c>
      <c r="B71" s="88" t="s">
        <v>570</v>
      </c>
      <c r="C71" s="356" t="s">
        <v>29</v>
      </c>
      <c r="D71" s="352">
        <f>'MEM.CÁLCULO (3)'!C561</f>
        <v>17</v>
      </c>
      <c r="E71" s="352">
        <v>68.319999999999993</v>
      </c>
      <c r="F71" s="358">
        <f t="shared" si="10"/>
        <v>1161.44</v>
      </c>
      <c r="G71" s="359"/>
      <c r="H71" s="360">
        <f t="shared" si="0"/>
        <v>0</v>
      </c>
      <c r="I71" s="359"/>
      <c r="J71" s="360">
        <f t="shared" si="1"/>
        <v>0</v>
      </c>
      <c r="K71" s="359"/>
      <c r="L71" s="360">
        <f t="shared" si="2"/>
        <v>0</v>
      </c>
      <c r="M71" s="359"/>
      <c r="N71" s="360">
        <f t="shared" si="3"/>
        <v>0</v>
      </c>
      <c r="O71" s="359"/>
      <c r="P71" s="360">
        <f t="shared" si="4"/>
        <v>0</v>
      </c>
      <c r="Q71" s="359">
        <f t="shared" si="5"/>
        <v>0</v>
      </c>
      <c r="R71" s="360">
        <f t="shared" si="6"/>
        <v>0</v>
      </c>
      <c r="S71" s="361">
        <f t="shared" si="7"/>
        <v>17</v>
      </c>
      <c r="T71" s="362">
        <f t="shared" si="8"/>
        <v>1161.44</v>
      </c>
    </row>
    <row r="72" spans="1:20" ht="52">
      <c r="A72" s="356" t="s">
        <v>571</v>
      </c>
      <c r="B72" s="88" t="s">
        <v>572</v>
      </c>
      <c r="C72" s="356" t="s">
        <v>29</v>
      </c>
      <c r="D72" s="352">
        <f>'MEM.CÁLCULO (3)'!C566</f>
        <v>47</v>
      </c>
      <c r="E72" s="352">
        <v>41.29</v>
      </c>
      <c r="F72" s="358">
        <f t="shared" si="10"/>
        <v>1940.63</v>
      </c>
      <c r="G72" s="359"/>
      <c r="H72" s="360">
        <f t="shared" si="0"/>
        <v>0</v>
      </c>
      <c r="I72" s="359"/>
      <c r="J72" s="360">
        <f t="shared" si="1"/>
        <v>0</v>
      </c>
      <c r="K72" s="359"/>
      <c r="L72" s="360">
        <f t="shared" si="2"/>
        <v>0</v>
      </c>
      <c r="M72" s="359"/>
      <c r="N72" s="360">
        <f t="shared" si="3"/>
        <v>0</v>
      </c>
      <c r="O72" s="359"/>
      <c r="P72" s="360">
        <f t="shared" si="4"/>
        <v>0</v>
      </c>
      <c r="Q72" s="359">
        <f t="shared" si="5"/>
        <v>0</v>
      </c>
      <c r="R72" s="360">
        <f t="shared" si="6"/>
        <v>0</v>
      </c>
      <c r="S72" s="361">
        <f t="shared" si="7"/>
        <v>47</v>
      </c>
      <c r="T72" s="362">
        <f t="shared" si="8"/>
        <v>1940.63</v>
      </c>
    </row>
    <row r="73" spans="1:20" ht="13">
      <c r="A73" s="356"/>
      <c r="B73" s="88"/>
      <c r="C73" s="356"/>
      <c r="D73" s="352"/>
      <c r="E73" s="358"/>
      <c r="F73" s="358"/>
      <c r="G73" s="359"/>
      <c r="H73" s="360"/>
      <c r="I73" s="359"/>
      <c r="J73" s="360"/>
      <c r="K73" s="359"/>
      <c r="L73" s="360"/>
      <c r="M73" s="359"/>
      <c r="N73" s="360"/>
      <c r="O73" s="359"/>
      <c r="P73" s="360"/>
      <c r="Q73" s="359"/>
      <c r="R73" s="360"/>
      <c r="S73" s="361"/>
      <c r="T73" s="362"/>
    </row>
    <row r="74" spans="1:20" ht="13">
      <c r="A74" s="350" t="s">
        <v>573</v>
      </c>
      <c r="B74" s="351" t="s">
        <v>574</v>
      </c>
      <c r="C74" s="351"/>
      <c r="D74" s="352"/>
      <c r="E74" s="353"/>
      <c r="F74" s="353">
        <f>SUM(F75:F80)</f>
        <v>140348.29999999999</v>
      </c>
      <c r="G74" s="359"/>
      <c r="H74" s="360"/>
      <c r="I74" s="359"/>
      <c r="J74" s="360"/>
      <c r="K74" s="359"/>
      <c r="L74" s="360"/>
      <c r="M74" s="359"/>
      <c r="N74" s="360"/>
      <c r="O74" s="359"/>
      <c r="P74" s="360"/>
      <c r="Q74" s="359"/>
      <c r="R74" s="360"/>
      <c r="S74" s="361"/>
      <c r="T74" s="362"/>
    </row>
    <row r="75" spans="1:20" ht="52">
      <c r="A75" s="355" t="s">
        <v>575</v>
      </c>
      <c r="B75" s="379" t="s">
        <v>576</v>
      </c>
      <c r="C75" s="356" t="s">
        <v>24</v>
      </c>
      <c r="D75" s="352">
        <f>'MEM.CÁLCULO (3)'!C603</f>
        <v>535.57000000000005</v>
      </c>
      <c r="E75" s="352">
        <v>65.38</v>
      </c>
      <c r="F75" s="358">
        <f>E75*D75-0.01</f>
        <v>35015.56</v>
      </c>
      <c r="G75" s="359"/>
      <c r="H75" s="360">
        <f t="shared" si="0"/>
        <v>0</v>
      </c>
      <c r="I75" s="359"/>
      <c r="J75" s="360">
        <f t="shared" si="1"/>
        <v>0</v>
      </c>
      <c r="K75" s="359">
        <v>500</v>
      </c>
      <c r="L75" s="360">
        <f t="shared" si="2"/>
        <v>32690</v>
      </c>
      <c r="M75" s="359"/>
      <c r="N75" s="360">
        <f t="shared" si="3"/>
        <v>0</v>
      </c>
      <c r="O75" s="359"/>
      <c r="P75" s="360">
        <f t="shared" si="4"/>
        <v>0</v>
      </c>
      <c r="Q75" s="359">
        <f t="shared" si="5"/>
        <v>500</v>
      </c>
      <c r="R75" s="360">
        <f t="shared" si="6"/>
        <v>32690</v>
      </c>
      <c r="S75" s="361">
        <f t="shared" si="7"/>
        <v>35.57</v>
      </c>
      <c r="T75" s="362">
        <f t="shared" si="8"/>
        <v>2325.56</v>
      </c>
    </row>
    <row r="76" spans="1:20" ht="29.25" customHeight="1">
      <c r="A76" s="355" t="s">
        <v>577</v>
      </c>
      <c r="B76" s="380" t="s">
        <v>578</v>
      </c>
      <c r="C76" s="356" t="s">
        <v>24</v>
      </c>
      <c r="D76" s="352">
        <f>'MEM.CÁLCULO (3)'!C641</f>
        <v>535.57000000000005</v>
      </c>
      <c r="E76" s="352">
        <v>67.790000000000006</v>
      </c>
      <c r="F76" s="358">
        <f>E76*D76</f>
        <v>36306.29</v>
      </c>
      <c r="G76" s="359"/>
      <c r="H76" s="360">
        <f t="shared" si="0"/>
        <v>0</v>
      </c>
      <c r="I76" s="359"/>
      <c r="J76" s="360">
        <f t="shared" si="1"/>
        <v>0</v>
      </c>
      <c r="K76" s="359">
        <v>500</v>
      </c>
      <c r="L76" s="360">
        <f t="shared" si="2"/>
        <v>33895</v>
      </c>
      <c r="M76" s="359"/>
      <c r="N76" s="360">
        <f t="shared" si="3"/>
        <v>0</v>
      </c>
      <c r="O76" s="359"/>
      <c r="P76" s="360">
        <f t="shared" si="4"/>
        <v>0</v>
      </c>
      <c r="Q76" s="359">
        <f t="shared" si="5"/>
        <v>500</v>
      </c>
      <c r="R76" s="360">
        <f t="shared" si="6"/>
        <v>33895</v>
      </c>
      <c r="S76" s="361">
        <f t="shared" si="7"/>
        <v>35.57</v>
      </c>
      <c r="T76" s="362">
        <f t="shared" si="8"/>
        <v>2411.29</v>
      </c>
    </row>
    <row r="77" spans="1:20" ht="52">
      <c r="A77" s="355" t="s">
        <v>579</v>
      </c>
      <c r="B77" s="379" t="s">
        <v>580</v>
      </c>
      <c r="C77" s="381" t="s">
        <v>24</v>
      </c>
      <c r="D77" s="352">
        <f>'MEM.CÁLCULO (3)'!C677</f>
        <v>292.14</v>
      </c>
      <c r="E77" s="352">
        <v>64.91</v>
      </c>
      <c r="F77" s="358">
        <f>E77*D77-0.01</f>
        <v>18962.80</v>
      </c>
      <c r="G77" s="359"/>
      <c r="H77" s="360">
        <f t="shared" si="0"/>
        <v>0</v>
      </c>
      <c r="I77" s="359"/>
      <c r="J77" s="360">
        <f t="shared" si="1"/>
        <v>0</v>
      </c>
      <c r="K77" s="359"/>
      <c r="L77" s="360">
        <f t="shared" si="2"/>
        <v>0</v>
      </c>
      <c r="M77" s="359"/>
      <c r="N77" s="360">
        <f t="shared" si="3"/>
        <v>0</v>
      </c>
      <c r="O77" s="359"/>
      <c r="P77" s="360">
        <f t="shared" si="4"/>
        <v>0</v>
      </c>
      <c r="Q77" s="359">
        <f t="shared" si="5"/>
        <v>0</v>
      </c>
      <c r="R77" s="360">
        <f t="shared" si="6"/>
        <v>0</v>
      </c>
      <c r="S77" s="361">
        <f t="shared" si="7"/>
        <v>292.14</v>
      </c>
      <c r="T77" s="362">
        <f t="shared" si="8"/>
        <v>18962.80</v>
      </c>
    </row>
    <row r="78" spans="1:20" ht="26">
      <c r="A78" s="355" t="s">
        <v>581</v>
      </c>
      <c r="B78" s="379" t="s">
        <v>582</v>
      </c>
      <c r="C78" s="381" t="s">
        <v>29</v>
      </c>
      <c r="D78" s="352">
        <f>'MEM.CÁLCULO (3)'!E701</f>
        <v>238.94</v>
      </c>
      <c r="E78" s="352">
        <v>10.18</v>
      </c>
      <c r="F78" s="358">
        <f>E78*D78-0.01</f>
        <v>2432.40</v>
      </c>
      <c r="G78" s="359"/>
      <c r="H78" s="360">
        <f t="shared" si="11" ref="H78:H141">G78*E78</f>
        <v>0</v>
      </c>
      <c r="I78" s="359"/>
      <c r="J78" s="360">
        <f t="shared" si="12" ref="J78:J141">I78*$E78</f>
        <v>0</v>
      </c>
      <c r="K78" s="359"/>
      <c r="L78" s="360">
        <f t="shared" si="13" ref="L78:L141">K78*$E78</f>
        <v>0</v>
      </c>
      <c r="M78" s="359"/>
      <c r="N78" s="360">
        <f t="shared" si="14" ref="N78:N141">M78*$E78</f>
        <v>0</v>
      </c>
      <c r="O78" s="359"/>
      <c r="P78" s="360">
        <f t="shared" si="15" ref="P78:P141">O78*$E78</f>
        <v>0</v>
      </c>
      <c r="Q78" s="359">
        <f t="shared" si="16" ref="Q78:Q141">G78+I78+K78+M78+O78</f>
        <v>0</v>
      </c>
      <c r="R78" s="360">
        <f t="shared" si="17" ref="R78:R141">H78+J78+L78+N78+P78</f>
        <v>0</v>
      </c>
      <c r="S78" s="361">
        <f t="shared" si="18" ref="S78:S141">D78-Q78</f>
        <v>238.94</v>
      </c>
      <c r="T78" s="362">
        <f t="shared" si="19" ref="T78:T141">F78-R78</f>
        <v>2432.40</v>
      </c>
    </row>
    <row r="79" spans="1:20" ht="39">
      <c r="A79" s="355" t="s">
        <v>583</v>
      </c>
      <c r="B79" s="382" t="s">
        <v>584</v>
      </c>
      <c r="C79" s="381" t="s">
        <v>24</v>
      </c>
      <c r="D79" s="352">
        <f>'MEM.CÁLCULO (3)'!C710</f>
        <v>356.88</v>
      </c>
      <c r="E79" s="352">
        <v>123.33</v>
      </c>
      <c r="F79" s="358">
        <f>E79*D79</f>
        <v>44014.01</v>
      </c>
      <c r="G79" s="359"/>
      <c r="H79" s="360">
        <f t="shared" si="11"/>
        <v>0</v>
      </c>
      <c r="I79" s="359"/>
      <c r="J79" s="360">
        <f t="shared" si="12"/>
        <v>0</v>
      </c>
      <c r="K79" s="359">
        <v>128.10</v>
      </c>
      <c r="L79" s="360">
        <f>K79*$E79-1.35</f>
        <v>15797.22</v>
      </c>
      <c r="M79" s="359"/>
      <c r="N79" s="360">
        <f t="shared" si="14"/>
        <v>0</v>
      </c>
      <c r="O79" s="359"/>
      <c r="P79" s="360">
        <f t="shared" si="15"/>
        <v>0</v>
      </c>
      <c r="Q79" s="359">
        <f t="shared" si="16"/>
        <v>128.10</v>
      </c>
      <c r="R79" s="360">
        <f t="shared" si="17"/>
        <v>15797.22</v>
      </c>
      <c r="S79" s="361">
        <f t="shared" si="18"/>
        <v>228.78</v>
      </c>
      <c r="T79" s="362">
        <f t="shared" si="19"/>
        <v>28216.79</v>
      </c>
    </row>
    <row r="80" spans="1:20" ht="52">
      <c r="A80" s="355" t="s">
        <v>585</v>
      </c>
      <c r="B80" s="382" t="s">
        <v>586</v>
      </c>
      <c r="C80" s="381" t="s">
        <v>29</v>
      </c>
      <c r="D80" s="352">
        <f>'MEM.CÁLCULO (3)'!C716</f>
        <v>44.84</v>
      </c>
      <c r="E80" s="352">
        <v>80.67</v>
      </c>
      <c r="F80" s="358">
        <f>E80*D80</f>
        <v>3617.24</v>
      </c>
      <c r="G80" s="359"/>
      <c r="H80" s="360">
        <f t="shared" si="11"/>
        <v>0</v>
      </c>
      <c r="I80" s="359"/>
      <c r="J80" s="360">
        <f t="shared" si="12"/>
        <v>0</v>
      </c>
      <c r="K80" s="359"/>
      <c r="L80" s="360">
        <f t="shared" si="13"/>
        <v>0</v>
      </c>
      <c r="M80" s="359"/>
      <c r="N80" s="360">
        <f t="shared" si="14"/>
        <v>0</v>
      </c>
      <c r="O80" s="359"/>
      <c r="P80" s="360">
        <f t="shared" si="15"/>
        <v>0</v>
      </c>
      <c r="Q80" s="359">
        <f t="shared" si="16"/>
        <v>0</v>
      </c>
      <c r="R80" s="360">
        <f t="shared" si="17"/>
        <v>0</v>
      </c>
      <c r="S80" s="361">
        <f t="shared" si="18"/>
        <v>44.84</v>
      </c>
      <c r="T80" s="362">
        <f t="shared" si="19"/>
        <v>3617.24</v>
      </c>
    </row>
    <row r="81" spans="1:20" ht="13">
      <c r="A81" s="356"/>
      <c r="B81" s="383"/>
      <c r="C81" s="356"/>
      <c r="D81" s="352"/>
      <c r="E81" s="363"/>
      <c r="F81" s="358"/>
      <c r="G81" s="359"/>
      <c r="H81" s="360"/>
      <c r="I81" s="359"/>
      <c r="J81" s="360"/>
      <c r="K81" s="359"/>
      <c r="L81" s="360"/>
      <c r="M81" s="359"/>
      <c r="N81" s="360"/>
      <c r="O81" s="359"/>
      <c r="P81" s="360"/>
      <c r="Q81" s="359"/>
      <c r="R81" s="360"/>
      <c r="S81" s="361"/>
      <c r="T81" s="362"/>
    </row>
    <row r="82" spans="1:20" ht="13">
      <c r="A82" s="350" t="s">
        <v>587</v>
      </c>
      <c r="B82" s="351" t="s">
        <v>588</v>
      </c>
      <c r="C82" s="351"/>
      <c r="D82" s="352"/>
      <c r="E82" s="353"/>
      <c r="F82" s="353">
        <f>SUM(F83:F103)</f>
        <v>38564.51</v>
      </c>
      <c r="G82" s="359"/>
      <c r="H82" s="360"/>
      <c r="I82" s="359"/>
      <c r="J82" s="360"/>
      <c r="K82" s="359"/>
      <c r="L82" s="360"/>
      <c r="M82" s="359"/>
      <c r="N82" s="360"/>
      <c r="O82" s="359"/>
      <c r="P82" s="360"/>
      <c r="Q82" s="359"/>
      <c r="R82" s="360"/>
      <c r="S82" s="361"/>
      <c r="T82" s="362"/>
    </row>
    <row r="83" spans="1:20" ht="52">
      <c r="A83" s="355" t="s">
        <v>589</v>
      </c>
      <c r="B83" s="384" t="s">
        <v>590</v>
      </c>
      <c r="C83" s="356" t="s">
        <v>34</v>
      </c>
      <c r="D83" s="352">
        <f>'MEM.CÁLCULO (3)'!C755</f>
        <v>56</v>
      </c>
      <c r="E83" s="352">
        <v>132.46</v>
      </c>
      <c r="F83" s="358">
        <f t="shared" si="20" ref="F83:F99">E83*D83</f>
        <v>7417.76</v>
      </c>
      <c r="G83" s="359"/>
      <c r="H83" s="360">
        <f t="shared" si="11"/>
        <v>0</v>
      </c>
      <c r="I83" s="359"/>
      <c r="J83" s="360">
        <f t="shared" si="12"/>
        <v>0</v>
      </c>
      <c r="K83" s="359"/>
      <c r="L83" s="360">
        <f t="shared" si="13"/>
        <v>0</v>
      </c>
      <c r="M83" s="359"/>
      <c r="N83" s="360">
        <f t="shared" si="14"/>
        <v>0</v>
      </c>
      <c r="O83" s="359"/>
      <c r="P83" s="360">
        <f t="shared" si="15"/>
        <v>0</v>
      </c>
      <c r="Q83" s="359">
        <f t="shared" si="16"/>
        <v>0</v>
      </c>
      <c r="R83" s="360">
        <f t="shared" si="17"/>
        <v>0</v>
      </c>
      <c r="S83" s="361">
        <f t="shared" si="18"/>
        <v>56</v>
      </c>
      <c r="T83" s="362">
        <f t="shared" si="19"/>
        <v>7417.76</v>
      </c>
    </row>
    <row r="84" spans="1:20" ht="39">
      <c r="A84" s="355" t="s">
        <v>591</v>
      </c>
      <c r="B84" s="382" t="s">
        <v>592</v>
      </c>
      <c r="C84" s="381" t="s">
        <v>34</v>
      </c>
      <c r="D84" s="352">
        <f>'MEM.CÁLCULO (3)'!C792</f>
        <v>56</v>
      </c>
      <c r="E84" s="352">
        <v>105.06</v>
      </c>
      <c r="F84" s="358">
        <f t="shared" si="20"/>
        <v>5883.36</v>
      </c>
      <c r="G84" s="359"/>
      <c r="H84" s="360">
        <f t="shared" si="11"/>
        <v>0</v>
      </c>
      <c r="I84" s="359"/>
      <c r="J84" s="360">
        <f t="shared" si="12"/>
        <v>0</v>
      </c>
      <c r="K84" s="359"/>
      <c r="L84" s="360">
        <f t="shared" si="13"/>
        <v>0</v>
      </c>
      <c r="M84" s="359"/>
      <c r="N84" s="360">
        <f t="shared" si="14"/>
        <v>0</v>
      </c>
      <c r="O84" s="359"/>
      <c r="P84" s="360">
        <f t="shared" si="15"/>
        <v>0</v>
      </c>
      <c r="Q84" s="359">
        <f t="shared" si="16"/>
        <v>0</v>
      </c>
      <c r="R84" s="360">
        <f t="shared" si="17"/>
        <v>0</v>
      </c>
      <c r="S84" s="361">
        <f t="shared" si="18"/>
        <v>56</v>
      </c>
      <c r="T84" s="362">
        <f t="shared" si="19"/>
        <v>5883.36</v>
      </c>
    </row>
    <row r="85" spans="1:20" ht="39">
      <c r="A85" s="355" t="s">
        <v>593</v>
      </c>
      <c r="B85" s="382" t="s">
        <v>594</v>
      </c>
      <c r="C85" s="381" t="s">
        <v>34</v>
      </c>
      <c r="D85" s="352">
        <f>'MEM.CÁLCULO (3)'!C806</f>
        <v>11</v>
      </c>
      <c r="E85" s="352">
        <v>60.67</v>
      </c>
      <c r="F85" s="358">
        <f t="shared" si="20"/>
        <v>667.37</v>
      </c>
      <c r="G85" s="359"/>
      <c r="H85" s="360">
        <f t="shared" si="11"/>
        <v>0</v>
      </c>
      <c r="I85" s="359"/>
      <c r="J85" s="360">
        <f t="shared" si="12"/>
        <v>0</v>
      </c>
      <c r="K85" s="359"/>
      <c r="L85" s="360">
        <f t="shared" si="13"/>
        <v>0</v>
      </c>
      <c r="M85" s="359"/>
      <c r="N85" s="360">
        <f t="shared" si="14"/>
        <v>0</v>
      </c>
      <c r="O85" s="359"/>
      <c r="P85" s="360">
        <f t="shared" si="15"/>
        <v>0</v>
      </c>
      <c r="Q85" s="359">
        <f t="shared" si="16"/>
        <v>0</v>
      </c>
      <c r="R85" s="360">
        <f t="shared" si="17"/>
        <v>0</v>
      </c>
      <c r="S85" s="361">
        <f t="shared" si="18"/>
        <v>11</v>
      </c>
      <c r="T85" s="362">
        <f t="shared" si="19"/>
        <v>667.37</v>
      </c>
    </row>
    <row r="86" spans="1:20" ht="26">
      <c r="A86" s="355" t="s">
        <v>595</v>
      </c>
      <c r="B86" s="382" t="s">
        <v>596</v>
      </c>
      <c r="C86" s="381" t="s">
        <v>34</v>
      </c>
      <c r="D86" s="352">
        <f>'MEM.CÁLCULO (3)'!C827</f>
        <v>16</v>
      </c>
      <c r="E86" s="352">
        <v>35.68</v>
      </c>
      <c r="F86" s="358">
        <f t="shared" si="20"/>
        <v>570.88</v>
      </c>
      <c r="G86" s="359"/>
      <c r="H86" s="360">
        <f t="shared" si="11"/>
        <v>0</v>
      </c>
      <c r="I86" s="359"/>
      <c r="J86" s="360">
        <f t="shared" si="12"/>
        <v>0</v>
      </c>
      <c r="K86" s="359"/>
      <c r="L86" s="360">
        <f t="shared" si="13"/>
        <v>0</v>
      </c>
      <c r="M86" s="359"/>
      <c r="N86" s="360">
        <f t="shared" si="14"/>
        <v>0</v>
      </c>
      <c r="O86" s="359"/>
      <c r="P86" s="360">
        <f t="shared" si="15"/>
        <v>0</v>
      </c>
      <c r="Q86" s="359">
        <f t="shared" si="16"/>
        <v>0</v>
      </c>
      <c r="R86" s="360">
        <f t="shared" si="17"/>
        <v>0</v>
      </c>
      <c r="S86" s="361">
        <f t="shared" si="18"/>
        <v>16</v>
      </c>
      <c r="T86" s="362">
        <f t="shared" si="19"/>
        <v>570.88</v>
      </c>
    </row>
    <row r="87" spans="1:20" ht="26">
      <c r="A87" s="355" t="s">
        <v>597</v>
      </c>
      <c r="B87" s="382" t="s">
        <v>598</v>
      </c>
      <c r="C87" s="381" t="s">
        <v>34</v>
      </c>
      <c r="D87" s="352">
        <f>'MEM.CÁLCULO (3)'!C833</f>
        <v>5</v>
      </c>
      <c r="E87" s="352">
        <v>54.63</v>
      </c>
      <c r="F87" s="358">
        <f t="shared" si="20"/>
        <v>273.14999999999998</v>
      </c>
      <c r="G87" s="359"/>
      <c r="H87" s="360">
        <f t="shared" si="11"/>
        <v>0</v>
      </c>
      <c r="I87" s="359"/>
      <c r="J87" s="360">
        <f t="shared" si="12"/>
        <v>0</v>
      </c>
      <c r="K87" s="359"/>
      <c r="L87" s="360">
        <f t="shared" si="13"/>
        <v>0</v>
      </c>
      <c r="M87" s="359"/>
      <c r="N87" s="360">
        <f t="shared" si="14"/>
        <v>0</v>
      </c>
      <c r="O87" s="359"/>
      <c r="P87" s="360">
        <f t="shared" si="15"/>
        <v>0</v>
      </c>
      <c r="Q87" s="359">
        <f t="shared" si="16"/>
        <v>0</v>
      </c>
      <c r="R87" s="360">
        <f t="shared" si="17"/>
        <v>0</v>
      </c>
      <c r="S87" s="361">
        <f t="shared" si="18"/>
        <v>5</v>
      </c>
      <c r="T87" s="362">
        <f t="shared" si="19"/>
        <v>273.14999999999998</v>
      </c>
    </row>
    <row r="88" spans="1:20" ht="26">
      <c r="A88" s="355" t="s">
        <v>599</v>
      </c>
      <c r="B88" s="382" t="s">
        <v>600</v>
      </c>
      <c r="C88" s="381" t="s">
        <v>34</v>
      </c>
      <c r="D88" s="352">
        <f>'MEM.CÁLCULO (3)'!C840</f>
        <v>2</v>
      </c>
      <c r="E88" s="352">
        <v>73.56</v>
      </c>
      <c r="F88" s="358">
        <f t="shared" si="20"/>
        <v>147.12</v>
      </c>
      <c r="G88" s="359"/>
      <c r="H88" s="360">
        <f t="shared" si="11"/>
        <v>0</v>
      </c>
      <c r="I88" s="359"/>
      <c r="J88" s="360">
        <f t="shared" si="12"/>
        <v>0</v>
      </c>
      <c r="K88" s="359"/>
      <c r="L88" s="360">
        <f t="shared" si="13"/>
        <v>0</v>
      </c>
      <c r="M88" s="359"/>
      <c r="N88" s="360">
        <f t="shared" si="14"/>
        <v>0</v>
      </c>
      <c r="O88" s="359"/>
      <c r="P88" s="360">
        <f t="shared" si="15"/>
        <v>0</v>
      </c>
      <c r="Q88" s="359">
        <f t="shared" si="16"/>
        <v>0</v>
      </c>
      <c r="R88" s="360">
        <f t="shared" si="17"/>
        <v>0</v>
      </c>
      <c r="S88" s="361">
        <f t="shared" si="18"/>
        <v>2</v>
      </c>
      <c r="T88" s="362">
        <f t="shared" si="19"/>
        <v>147.12</v>
      </c>
    </row>
    <row r="89" spans="1:20" ht="39">
      <c r="A89" s="355" t="s">
        <v>601</v>
      </c>
      <c r="B89" s="382" t="s">
        <v>602</v>
      </c>
      <c r="C89" s="381" t="s">
        <v>34</v>
      </c>
      <c r="D89" s="352">
        <f>'MEM.CÁLCULO (3)'!C846</f>
        <v>11</v>
      </c>
      <c r="E89" s="352">
        <v>41.78</v>
      </c>
      <c r="F89" s="358">
        <f t="shared" si="20"/>
        <v>459.58</v>
      </c>
      <c r="G89" s="359"/>
      <c r="H89" s="360">
        <f t="shared" si="11"/>
        <v>0</v>
      </c>
      <c r="I89" s="359"/>
      <c r="J89" s="360">
        <f t="shared" si="12"/>
        <v>0</v>
      </c>
      <c r="K89" s="359"/>
      <c r="L89" s="360">
        <f t="shared" si="13"/>
        <v>0</v>
      </c>
      <c r="M89" s="359"/>
      <c r="N89" s="360">
        <f t="shared" si="14"/>
        <v>0</v>
      </c>
      <c r="O89" s="359"/>
      <c r="P89" s="360">
        <f t="shared" si="15"/>
        <v>0</v>
      </c>
      <c r="Q89" s="359">
        <f t="shared" si="16"/>
        <v>0</v>
      </c>
      <c r="R89" s="360">
        <f t="shared" si="17"/>
        <v>0</v>
      </c>
      <c r="S89" s="361">
        <f t="shared" si="18"/>
        <v>11</v>
      </c>
      <c r="T89" s="362">
        <f t="shared" si="19"/>
        <v>459.58</v>
      </c>
    </row>
    <row r="90" spans="1:20" ht="39">
      <c r="A90" s="355" t="s">
        <v>603</v>
      </c>
      <c r="B90" s="382" t="s">
        <v>604</v>
      </c>
      <c r="C90" s="381" t="s">
        <v>34</v>
      </c>
      <c r="D90" s="352">
        <f>'MEM.CÁLCULO (3)'!C852</f>
        <v>36</v>
      </c>
      <c r="E90" s="352">
        <v>37.51</v>
      </c>
      <c r="F90" s="358">
        <f t="shared" si="20"/>
        <v>1350.36</v>
      </c>
      <c r="G90" s="359"/>
      <c r="H90" s="360">
        <f t="shared" si="11"/>
        <v>0</v>
      </c>
      <c r="I90" s="359"/>
      <c r="J90" s="360">
        <f t="shared" si="12"/>
        <v>0</v>
      </c>
      <c r="K90" s="359"/>
      <c r="L90" s="360">
        <f t="shared" si="13"/>
        <v>0</v>
      </c>
      <c r="M90" s="359"/>
      <c r="N90" s="360">
        <f t="shared" si="14"/>
        <v>0</v>
      </c>
      <c r="O90" s="359"/>
      <c r="P90" s="360">
        <f t="shared" si="15"/>
        <v>0</v>
      </c>
      <c r="Q90" s="359">
        <f t="shared" si="16"/>
        <v>0</v>
      </c>
      <c r="R90" s="360">
        <f t="shared" si="17"/>
        <v>0</v>
      </c>
      <c r="S90" s="361">
        <f t="shared" si="18"/>
        <v>36</v>
      </c>
      <c r="T90" s="362">
        <f t="shared" si="19"/>
        <v>1350.36</v>
      </c>
    </row>
    <row r="91" spans="1:20" ht="39">
      <c r="A91" s="355" t="s">
        <v>605</v>
      </c>
      <c r="B91" s="382" t="s">
        <v>606</v>
      </c>
      <c r="C91" s="381" t="s">
        <v>34</v>
      </c>
      <c r="D91" s="352">
        <f>'MEM.CÁLCULO (3)'!C858</f>
        <v>8</v>
      </c>
      <c r="E91" s="352">
        <v>52.84</v>
      </c>
      <c r="F91" s="358">
        <f t="shared" si="20"/>
        <v>422.72</v>
      </c>
      <c r="G91" s="359"/>
      <c r="H91" s="360">
        <f t="shared" si="11"/>
        <v>0</v>
      </c>
      <c r="I91" s="359"/>
      <c r="J91" s="360">
        <f t="shared" si="12"/>
        <v>0</v>
      </c>
      <c r="K91" s="359"/>
      <c r="L91" s="360">
        <f t="shared" si="13"/>
        <v>0</v>
      </c>
      <c r="M91" s="359"/>
      <c r="N91" s="360">
        <f t="shared" si="14"/>
        <v>0</v>
      </c>
      <c r="O91" s="359"/>
      <c r="P91" s="360">
        <f t="shared" si="15"/>
        <v>0</v>
      </c>
      <c r="Q91" s="359">
        <f t="shared" si="16"/>
        <v>0</v>
      </c>
      <c r="R91" s="360">
        <f t="shared" si="17"/>
        <v>0</v>
      </c>
      <c r="S91" s="361">
        <f t="shared" si="18"/>
        <v>8</v>
      </c>
      <c r="T91" s="362">
        <f t="shared" si="19"/>
        <v>422.72</v>
      </c>
    </row>
    <row r="92" spans="1:20" ht="13">
      <c r="A92" s="355" t="s">
        <v>607</v>
      </c>
      <c r="B92" s="384" t="s">
        <v>608</v>
      </c>
      <c r="C92" s="356" t="s">
        <v>34</v>
      </c>
      <c r="D92" s="352">
        <f>'MEM.CÁLCULO (3)'!C864</f>
        <v>1</v>
      </c>
      <c r="E92" s="352">
        <v>87.86</v>
      </c>
      <c r="F92" s="358">
        <f t="shared" si="20"/>
        <v>87.86</v>
      </c>
      <c r="G92" s="359"/>
      <c r="H92" s="360">
        <f t="shared" si="11"/>
        <v>0</v>
      </c>
      <c r="I92" s="359"/>
      <c r="J92" s="360">
        <f t="shared" si="12"/>
        <v>0</v>
      </c>
      <c r="K92" s="359"/>
      <c r="L92" s="360">
        <f t="shared" si="13"/>
        <v>0</v>
      </c>
      <c r="M92" s="359"/>
      <c r="N92" s="360">
        <f t="shared" si="14"/>
        <v>0</v>
      </c>
      <c r="O92" s="359"/>
      <c r="P92" s="360">
        <f t="shared" si="15"/>
        <v>0</v>
      </c>
      <c r="Q92" s="359">
        <f t="shared" si="16"/>
        <v>0</v>
      </c>
      <c r="R92" s="360">
        <f t="shared" si="17"/>
        <v>0</v>
      </c>
      <c r="S92" s="361">
        <f t="shared" si="18"/>
        <v>1</v>
      </c>
      <c r="T92" s="362">
        <f t="shared" si="19"/>
        <v>87.86</v>
      </c>
    </row>
    <row r="93" spans="1:20" ht="13">
      <c r="A93" s="355" t="s">
        <v>609</v>
      </c>
      <c r="B93" s="384" t="s">
        <v>610</v>
      </c>
      <c r="C93" s="356" t="s">
        <v>611</v>
      </c>
      <c r="D93" s="352">
        <f>'MEM.CÁLCULO (3)'!C870</f>
        <v>12</v>
      </c>
      <c r="E93" s="352">
        <v>660.82</v>
      </c>
      <c r="F93" s="358">
        <f t="shared" si="20"/>
        <v>7929.84</v>
      </c>
      <c r="G93" s="359"/>
      <c r="H93" s="360">
        <f t="shared" si="11"/>
        <v>0</v>
      </c>
      <c r="I93" s="359"/>
      <c r="J93" s="360">
        <f t="shared" si="12"/>
        <v>0</v>
      </c>
      <c r="K93" s="359"/>
      <c r="L93" s="360">
        <f t="shared" si="13"/>
        <v>0</v>
      </c>
      <c r="M93" s="359"/>
      <c r="N93" s="360">
        <f t="shared" si="14"/>
        <v>0</v>
      </c>
      <c r="O93" s="359"/>
      <c r="P93" s="360">
        <f t="shared" si="15"/>
        <v>0</v>
      </c>
      <c r="Q93" s="359">
        <f t="shared" si="16"/>
        <v>0</v>
      </c>
      <c r="R93" s="360">
        <f t="shared" si="17"/>
        <v>0</v>
      </c>
      <c r="S93" s="361">
        <f t="shared" si="18"/>
        <v>12</v>
      </c>
      <c r="T93" s="362">
        <f t="shared" si="19"/>
        <v>7929.84</v>
      </c>
    </row>
    <row r="94" spans="1:20" ht="13">
      <c r="A94" s="355" t="s">
        <v>612</v>
      </c>
      <c r="B94" s="384" t="s">
        <v>613</v>
      </c>
      <c r="C94" s="356" t="s">
        <v>614</v>
      </c>
      <c r="D94" s="352">
        <f>'MEM.CÁLCULO (3)'!C876</f>
        <v>12</v>
      </c>
      <c r="E94" s="352">
        <v>325.12</v>
      </c>
      <c r="F94" s="358">
        <f t="shared" si="20"/>
        <v>3901.44</v>
      </c>
      <c r="G94" s="359"/>
      <c r="H94" s="360">
        <f t="shared" si="11"/>
        <v>0</v>
      </c>
      <c r="I94" s="359"/>
      <c r="J94" s="360">
        <f t="shared" si="12"/>
        <v>0</v>
      </c>
      <c r="K94" s="359"/>
      <c r="L94" s="360">
        <f t="shared" si="13"/>
        <v>0</v>
      </c>
      <c r="M94" s="359"/>
      <c r="N94" s="360">
        <f t="shared" si="14"/>
        <v>0</v>
      </c>
      <c r="O94" s="359"/>
      <c r="P94" s="360">
        <f t="shared" si="15"/>
        <v>0</v>
      </c>
      <c r="Q94" s="359">
        <f t="shared" si="16"/>
        <v>0</v>
      </c>
      <c r="R94" s="360">
        <f t="shared" si="17"/>
        <v>0</v>
      </c>
      <c r="S94" s="361">
        <f t="shared" si="18"/>
        <v>12</v>
      </c>
      <c r="T94" s="362">
        <f t="shared" si="19"/>
        <v>3901.44</v>
      </c>
    </row>
    <row r="95" spans="1:20" ht="26">
      <c r="A95" s="355" t="s">
        <v>615</v>
      </c>
      <c r="B95" s="382" t="s">
        <v>616</v>
      </c>
      <c r="C95" s="381" t="s">
        <v>34</v>
      </c>
      <c r="D95" s="352">
        <f>'MEM.CÁLCULO (3)'!C882</f>
        <v>1</v>
      </c>
      <c r="E95" s="352">
        <v>15.05</v>
      </c>
      <c r="F95" s="358">
        <f t="shared" si="20"/>
        <v>15.05</v>
      </c>
      <c r="G95" s="359"/>
      <c r="H95" s="360">
        <f t="shared" si="11"/>
        <v>0</v>
      </c>
      <c r="I95" s="359"/>
      <c r="J95" s="360">
        <f t="shared" si="12"/>
        <v>0</v>
      </c>
      <c r="K95" s="359"/>
      <c r="L95" s="360">
        <f t="shared" si="13"/>
        <v>0</v>
      </c>
      <c r="M95" s="359"/>
      <c r="N95" s="360">
        <f t="shared" si="14"/>
        <v>0</v>
      </c>
      <c r="O95" s="359"/>
      <c r="P95" s="360">
        <f t="shared" si="15"/>
        <v>0</v>
      </c>
      <c r="Q95" s="359">
        <f t="shared" si="16"/>
        <v>0</v>
      </c>
      <c r="R95" s="360">
        <f t="shared" si="17"/>
        <v>0</v>
      </c>
      <c r="S95" s="361">
        <f t="shared" si="18"/>
        <v>1</v>
      </c>
      <c r="T95" s="362">
        <f t="shared" si="19"/>
        <v>15.05</v>
      </c>
    </row>
    <row r="96" spans="1:20" ht="26">
      <c r="A96" s="355" t="s">
        <v>617</v>
      </c>
      <c r="B96" s="382" t="s">
        <v>618</v>
      </c>
      <c r="C96" s="381" t="s">
        <v>34</v>
      </c>
      <c r="D96" s="352">
        <f>'MEM.CÁLCULO (3)'!C888</f>
        <v>3</v>
      </c>
      <c r="E96" s="352">
        <v>16.48</v>
      </c>
      <c r="F96" s="358">
        <f t="shared" si="20"/>
        <v>49.44</v>
      </c>
      <c r="G96" s="359"/>
      <c r="H96" s="360">
        <f t="shared" si="11"/>
        <v>0</v>
      </c>
      <c r="I96" s="359"/>
      <c r="J96" s="360">
        <f t="shared" si="12"/>
        <v>0</v>
      </c>
      <c r="K96" s="359"/>
      <c r="L96" s="360">
        <f t="shared" si="13"/>
        <v>0</v>
      </c>
      <c r="M96" s="359"/>
      <c r="N96" s="360">
        <f t="shared" si="14"/>
        <v>0</v>
      </c>
      <c r="O96" s="359"/>
      <c r="P96" s="360">
        <f t="shared" si="15"/>
        <v>0</v>
      </c>
      <c r="Q96" s="359">
        <f t="shared" si="16"/>
        <v>0</v>
      </c>
      <c r="R96" s="360">
        <f t="shared" si="17"/>
        <v>0</v>
      </c>
      <c r="S96" s="361">
        <f t="shared" si="18"/>
        <v>3</v>
      </c>
      <c r="T96" s="362">
        <f t="shared" si="19"/>
        <v>49.44</v>
      </c>
    </row>
    <row r="97" spans="1:20" ht="26">
      <c r="A97" s="355" t="s">
        <v>619</v>
      </c>
      <c r="B97" s="382" t="s">
        <v>620</v>
      </c>
      <c r="C97" s="381" t="s">
        <v>34</v>
      </c>
      <c r="D97" s="352">
        <f>'MEM.CÁLCULO (3)'!C894</f>
        <v>12</v>
      </c>
      <c r="E97" s="352">
        <v>74.63</v>
      </c>
      <c r="F97" s="358">
        <f t="shared" si="20"/>
        <v>895.56</v>
      </c>
      <c r="G97" s="359"/>
      <c r="H97" s="360">
        <f t="shared" si="11"/>
        <v>0</v>
      </c>
      <c r="I97" s="359"/>
      <c r="J97" s="360">
        <f t="shared" si="12"/>
        <v>0</v>
      </c>
      <c r="K97" s="359"/>
      <c r="L97" s="360">
        <f t="shared" si="13"/>
        <v>0</v>
      </c>
      <c r="M97" s="359"/>
      <c r="N97" s="360">
        <f t="shared" si="14"/>
        <v>0</v>
      </c>
      <c r="O97" s="359"/>
      <c r="P97" s="360">
        <f t="shared" si="15"/>
        <v>0</v>
      </c>
      <c r="Q97" s="359">
        <f t="shared" si="16"/>
        <v>0</v>
      </c>
      <c r="R97" s="360">
        <f t="shared" si="17"/>
        <v>0</v>
      </c>
      <c r="S97" s="361">
        <f t="shared" si="18"/>
        <v>12</v>
      </c>
      <c r="T97" s="362">
        <f t="shared" si="19"/>
        <v>895.56</v>
      </c>
    </row>
    <row r="98" spans="1:20" ht="13">
      <c r="A98" s="355" t="s">
        <v>621</v>
      </c>
      <c r="B98" s="382" t="s">
        <v>622</v>
      </c>
      <c r="C98" s="381" t="s">
        <v>34</v>
      </c>
      <c r="D98" s="352">
        <f>'MEM.CÁLCULO (3)'!C900</f>
        <v>1</v>
      </c>
      <c r="E98" s="352">
        <v>296.44</v>
      </c>
      <c r="F98" s="358">
        <f t="shared" si="20"/>
        <v>296.44</v>
      </c>
      <c r="G98" s="359"/>
      <c r="H98" s="360">
        <f t="shared" si="11"/>
        <v>0</v>
      </c>
      <c r="I98" s="359"/>
      <c r="J98" s="360">
        <f t="shared" si="12"/>
        <v>0</v>
      </c>
      <c r="K98" s="359"/>
      <c r="L98" s="360">
        <f t="shared" si="13"/>
        <v>0</v>
      </c>
      <c r="M98" s="359"/>
      <c r="N98" s="360">
        <f t="shared" si="14"/>
        <v>0</v>
      </c>
      <c r="O98" s="359"/>
      <c r="P98" s="360">
        <f t="shared" si="15"/>
        <v>0</v>
      </c>
      <c r="Q98" s="359">
        <f t="shared" si="16"/>
        <v>0</v>
      </c>
      <c r="R98" s="360">
        <f t="shared" si="17"/>
        <v>0</v>
      </c>
      <c r="S98" s="361">
        <f t="shared" si="18"/>
        <v>1</v>
      </c>
      <c r="T98" s="362">
        <f t="shared" si="19"/>
        <v>296.44</v>
      </c>
    </row>
    <row r="99" spans="1:20" ht="52">
      <c r="A99" s="355" t="s">
        <v>623</v>
      </c>
      <c r="B99" s="382" t="s">
        <v>624</v>
      </c>
      <c r="C99" s="381" t="s">
        <v>34</v>
      </c>
      <c r="D99" s="352">
        <f>'MEM.CÁLCULO (3)'!C906</f>
        <v>1</v>
      </c>
      <c r="E99" s="352">
        <v>1097.76</v>
      </c>
      <c r="F99" s="358">
        <f t="shared" si="20"/>
        <v>1097.76</v>
      </c>
      <c r="G99" s="359"/>
      <c r="H99" s="360">
        <f t="shared" si="11"/>
        <v>0</v>
      </c>
      <c r="I99" s="359"/>
      <c r="J99" s="360">
        <f t="shared" si="12"/>
        <v>0</v>
      </c>
      <c r="K99" s="359"/>
      <c r="L99" s="360">
        <f t="shared" si="13"/>
        <v>0</v>
      </c>
      <c r="M99" s="359"/>
      <c r="N99" s="360">
        <f t="shared" si="14"/>
        <v>0</v>
      </c>
      <c r="O99" s="359"/>
      <c r="P99" s="360">
        <f t="shared" si="15"/>
        <v>0</v>
      </c>
      <c r="Q99" s="359">
        <f t="shared" si="16"/>
        <v>0</v>
      </c>
      <c r="R99" s="360">
        <f t="shared" si="17"/>
        <v>0</v>
      </c>
      <c r="S99" s="361">
        <f t="shared" si="18"/>
        <v>1</v>
      </c>
      <c r="T99" s="362">
        <f t="shared" si="19"/>
        <v>1097.76</v>
      </c>
    </row>
    <row r="100" spans="1:20" ht="39">
      <c r="A100" s="355" t="s">
        <v>625</v>
      </c>
      <c r="B100" s="382" t="s">
        <v>626</v>
      </c>
      <c r="C100" s="381" t="s">
        <v>29</v>
      </c>
      <c r="D100" s="352">
        <f>'MEM.CÁLCULO (3)'!C912</f>
        <v>223.80</v>
      </c>
      <c r="E100" s="352">
        <v>5.42</v>
      </c>
      <c r="F100" s="358">
        <f>E100*D100-0.01</f>
        <v>1212.99</v>
      </c>
      <c r="G100" s="359"/>
      <c r="H100" s="360">
        <f t="shared" si="11"/>
        <v>0</v>
      </c>
      <c r="I100" s="359"/>
      <c r="J100" s="360">
        <f t="shared" si="12"/>
        <v>0</v>
      </c>
      <c r="K100" s="359"/>
      <c r="L100" s="360">
        <f t="shared" si="13"/>
        <v>0</v>
      </c>
      <c r="M100" s="359"/>
      <c r="N100" s="360">
        <f t="shared" si="14"/>
        <v>0</v>
      </c>
      <c r="O100" s="359"/>
      <c r="P100" s="360">
        <f t="shared" si="15"/>
        <v>0</v>
      </c>
      <c r="Q100" s="359">
        <f t="shared" si="16"/>
        <v>0</v>
      </c>
      <c r="R100" s="360">
        <f t="shared" si="17"/>
        <v>0</v>
      </c>
      <c r="S100" s="361">
        <f t="shared" si="18"/>
        <v>223.80</v>
      </c>
      <c r="T100" s="362">
        <f t="shared" si="19"/>
        <v>1212.99</v>
      </c>
    </row>
    <row r="101" spans="1:20" ht="39">
      <c r="A101" s="355" t="s">
        <v>627</v>
      </c>
      <c r="B101" s="382" t="s">
        <v>628</v>
      </c>
      <c r="C101" s="381" t="s">
        <v>29</v>
      </c>
      <c r="D101" s="352">
        <f>'MEM.CÁLCULO (3)'!C918</f>
        <v>223.80</v>
      </c>
      <c r="E101" s="352">
        <v>8.43</v>
      </c>
      <c r="F101" s="358">
        <f>E101*D101</f>
        <v>1886.63</v>
      </c>
      <c r="G101" s="359"/>
      <c r="H101" s="360">
        <f t="shared" si="11"/>
        <v>0</v>
      </c>
      <c r="I101" s="359"/>
      <c r="J101" s="360">
        <f t="shared" si="12"/>
        <v>0</v>
      </c>
      <c r="K101" s="359"/>
      <c r="L101" s="360">
        <f t="shared" si="13"/>
        <v>0</v>
      </c>
      <c r="M101" s="359"/>
      <c r="N101" s="360">
        <f t="shared" si="14"/>
        <v>0</v>
      </c>
      <c r="O101" s="359"/>
      <c r="P101" s="360">
        <f t="shared" si="15"/>
        <v>0</v>
      </c>
      <c r="Q101" s="359">
        <f t="shared" si="16"/>
        <v>0</v>
      </c>
      <c r="R101" s="360">
        <f t="shared" si="17"/>
        <v>0</v>
      </c>
      <c r="S101" s="361">
        <f t="shared" si="18"/>
        <v>223.80</v>
      </c>
      <c r="T101" s="362">
        <f t="shared" si="19"/>
        <v>1886.63</v>
      </c>
    </row>
    <row r="102" spans="1:20" ht="39">
      <c r="A102" s="355" t="s">
        <v>629</v>
      </c>
      <c r="B102" s="382" t="s">
        <v>630</v>
      </c>
      <c r="C102" s="381" t="s">
        <v>29</v>
      </c>
      <c r="D102" s="352">
        <f>'MEM.CÁLCULO (3)'!C924</f>
        <v>10</v>
      </c>
      <c r="E102" s="352">
        <v>30.67</v>
      </c>
      <c r="F102" s="358">
        <f>E102*D102</f>
        <v>306.70</v>
      </c>
      <c r="G102" s="359"/>
      <c r="H102" s="360">
        <f t="shared" si="11"/>
        <v>0</v>
      </c>
      <c r="I102" s="359"/>
      <c r="J102" s="360">
        <f t="shared" si="12"/>
        <v>0</v>
      </c>
      <c r="K102" s="359"/>
      <c r="L102" s="360">
        <f t="shared" si="13"/>
        <v>0</v>
      </c>
      <c r="M102" s="359"/>
      <c r="N102" s="360">
        <f t="shared" si="14"/>
        <v>0</v>
      </c>
      <c r="O102" s="359"/>
      <c r="P102" s="360">
        <f t="shared" si="15"/>
        <v>0</v>
      </c>
      <c r="Q102" s="359">
        <f t="shared" si="16"/>
        <v>0</v>
      </c>
      <c r="R102" s="360">
        <f t="shared" si="17"/>
        <v>0</v>
      </c>
      <c r="S102" s="361">
        <f t="shared" si="18"/>
        <v>10</v>
      </c>
      <c r="T102" s="362">
        <f t="shared" si="19"/>
        <v>306.70</v>
      </c>
    </row>
    <row r="103" spans="1:20" ht="39">
      <c r="A103" s="355" t="s">
        <v>631</v>
      </c>
      <c r="B103" s="384" t="s">
        <v>632</v>
      </c>
      <c r="C103" s="381" t="s">
        <v>29</v>
      </c>
      <c r="D103" s="352">
        <f>'MEM.CÁLCULO (3)'!C930</f>
        <v>250</v>
      </c>
      <c r="E103" s="352">
        <v>14.77</v>
      </c>
      <c r="F103" s="358">
        <f>E103*D103</f>
        <v>3692.50</v>
      </c>
      <c r="G103" s="359"/>
      <c r="H103" s="360">
        <f t="shared" si="11"/>
        <v>0</v>
      </c>
      <c r="I103" s="359"/>
      <c r="J103" s="360">
        <f t="shared" si="12"/>
        <v>0</v>
      </c>
      <c r="K103" s="359"/>
      <c r="L103" s="360">
        <f t="shared" si="13"/>
        <v>0</v>
      </c>
      <c r="M103" s="359"/>
      <c r="N103" s="360">
        <f t="shared" si="14"/>
        <v>0</v>
      </c>
      <c r="O103" s="359"/>
      <c r="P103" s="360">
        <f t="shared" si="15"/>
        <v>0</v>
      </c>
      <c r="Q103" s="359">
        <f t="shared" si="16"/>
        <v>0</v>
      </c>
      <c r="R103" s="360">
        <f t="shared" si="17"/>
        <v>0</v>
      </c>
      <c r="S103" s="361">
        <f t="shared" si="18"/>
        <v>250</v>
      </c>
      <c r="T103" s="362">
        <f t="shared" si="19"/>
        <v>3692.50</v>
      </c>
    </row>
    <row r="104" spans="1:20" ht="13">
      <c r="A104" s="355"/>
      <c r="B104" s="88"/>
      <c r="C104" s="356"/>
      <c r="D104" s="352"/>
      <c r="E104" s="363"/>
      <c r="F104" s="358"/>
      <c r="G104" s="359"/>
      <c r="H104" s="360"/>
      <c r="I104" s="359"/>
      <c r="J104" s="360"/>
      <c r="K104" s="359"/>
      <c r="L104" s="360"/>
      <c r="M104" s="359"/>
      <c r="N104" s="360"/>
      <c r="O104" s="359"/>
      <c r="P104" s="360"/>
      <c r="Q104" s="359"/>
      <c r="R104" s="360"/>
      <c r="S104" s="361"/>
      <c r="T104" s="362"/>
    </row>
    <row r="105" spans="1:20" ht="13">
      <c r="A105" s="350" t="s">
        <v>633</v>
      </c>
      <c r="B105" s="371" t="s">
        <v>634</v>
      </c>
      <c r="C105" s="356"/>
      <c r="D105" s="352"/>
      <c r="E105" s="353"/>
      <c r="F105" s="353">
        <f>SUM(F106:F127)</f>
        <v>32584.31</v>
      </c>
      <c r="G105" s="359"/>
      <c r="H105" s="360"/>
      <c r="I105" s="359"/>
      <c r="J105" s="360"/>
      <c r="K105" s="359"/>
      <c r="L105" s="360"/>
      <c r="M105" s="359"/>
      <c r="N105" s="360"/>
      <c r="O105" s="359"/>
      <c r="P105" s="360"/>
      <c r="Q105" s="359"/>
      <c r="R105" s="360"/>
      <c r="S105" s="361"/>
      <c r="T105" s="362"/>
    </row>
    <row r="106" spans="1:20" ht="39">
      <c r="A106" s="355" t="s">
        <v>635</v>
      </c>
      <c r="B106" s="377" t="s">
        <v>636</v>
      </c>
      <c r="C106" s="356" t="s">
        <v>29</v>
      </c>
      <c r="D106" s="352">
        <f>'MEM.CÁLCULO (3)'!C938</f>
        <v>40</v>
      </c>
      <c r="E106" s="352">
        <v>13.02</v>
      </c>
      <c r="F106" s="358">
        <f t="shared" si="21" ref="F106:F127">E106*D106</f>
        <v>520.79999999999995</v>
      </c>
      <c r="G106" s="359"/>
      <c r="H106" s="360">
        <f t="shared" si="11"/>
        <v>0</v>
      </c>
      <c r="I106" s="359"/>
      <c r="J106" s="360">
        <f t="shared" si="12"/>
        <v>0</v>
      </c>
      <c r="K106" s="359"/>
      <c r="L106" s="360">
        <f t="shared" si="13"/>
        <v>0</v>
      </c>
      <c r="M106" s="359"/>
      <c r="N106" s="360">
        <f t="shared" si="14"/>
        <v>0</v>
      </c>
      <c r="O106" s="359"/>
      <c r="P106" s="360">
        <f t="shared" si="15"/>
        <v>0</v>
      </c>
      <c r="Q106" s="359">
        <f t="shared" si="16"/>
        <v>0</v>
      </c>
      <c r="R106" s="360">
        <f t="shared" si="17"/>
        <v>0</v>
      </c>
      <c r="S106" s="361">
        <f t="shared" si="18"/>
        <v>40</v>
      </c>
      <c r="T106" s="362">
        <f t="shared" si="19"/>
        <v>520.79999999999995</v>
      </c>
    </row>
    <row r="107" spans="1:20" ht="39">
      <c r="A107" s="355" t="s">
        <v>637</v>
      </c>
      <c r="B107" s="377" t="s">
        <v>638</v>
      </c>
      <c r="C107" s="356" t="s">
        <v>29</v>
      </c>
      <c r="D107" s="352">
        <f>'MEM.CÁLCULO (3)'!C944</f>
        <v>65</v>
      </c>
      <c r="E107" s="352">
        <v>14.93</v>
      </c>
      <c r="F107" s="358">
        <f t="shared" si="21"/>
        <v>970.45</v>
      </c>
      <c r="G107" s="359"/>
      <c r="H107" s="360">
        <f t="shared" si="11"/>
        <v>0</v>
      </c>
      <c r="I107" s="359"/>
      <c r="J107" s="360">
        <f t="shared" si="12"/>
        <v>0</v>
      </c>
      <c r="K107" s="359"/>
      <c r="L107" s="360">
        <f t="shared" si="13"/>
        <v>0</v>
      </c>
      <c r="M107" s="359"/>
      <c r="N107" s="360">
        <f t="shared" si="14"/>
        <v>0</v>
      </c>
      <c r="O107" s="359"/>
      <c r="P107" s="360">
        <f t="shared" si="15"/>
        <v>0</v>
      </c>
      <c r="Q107" s="359">
        <f t="shared" si="16"/>
        <v>0</v>
      </c>
      <c r="R107" s="360">
        <f t="shared" si="17"/>
        <v>0</v>
      </c>
      <c r="S107" s="361">
        <f t="shared" si="18"/>
        <v>65</v>
      </c>
      <c r="T107" s="362">
        <f t="shared" si="19"/>
        <v>970.45</v>
      </c>
    </row>
    <row r="108" spans="1:20" ht="39">
      <c r="A108" s="355" t="s">
        <v>639</v>
      </c>
      <c r="B108" s="377" t="s">
        <v>640</v>
      </c>
      <c r="C108" s="356" t="s">
        <v>29</v>
      </c>
      <c r="D108" s="352">
        <f>'MEM.CÁLCULO (3)'!C950</f>
        <v>3</v>
      </c>
      <c r="E108" s="352">
        <v>23.83</v>
      </c>
      <c r="F108" s="358">
        <f t="shared" si="21"/>
        <v>71.489999999999995</v>
      </c>
      <c r="G108" s="359"/>
      <c r="H108" s="360">
        <f t="shared" si="11"/>
        <v>0</v>
      </c>
      <c r="I108" s="359"/>
      <c r="J108" s="360">
        <f t="shared" si="12"/>
        <v>0</v>
      </c>
      <c r="K108" s="359"/>
      <c r="L108" s="360">
        <f t="shared" si="13"/>
        <v>0</v>
      </c>
      <c r="M108" s="359"/>
      <c r="N108" s="360">
        <f t="shared" si="14"/>
        <v>0</v>
      </c>
      <c r="O108" s="359"/>
      <c r="P108" s="360">
        <f t="shared" si="15"/>
        <v>0</v>
      </c>
      <c r="Q108" s="359">
        <f t="shared" si="16"/>
        <v>0</v>
      </c>
      <c r="R108" s="360">
        <f t="shared" si="17"/>
        <v>0</v>
      </c>
      <c r="S108" s="361">
        <f t="shared" si="18"/>
        <v>3</v>
      </c>
      <c r="T108" s="362">
        <f t="shared" si="19"/>
        <v>71.489999999999995</v>
      </c>
    </row>
    <row r="109" spans="1:20" ht="39">
      <c r="A109" s="355" t="s">
        <v>641</v>
      </c>
      <c r="B109" s="377" t="s">
        <v>642</v>
      </c>
      <c r="C109" s="356" t="s">
        <v>29</v>
      </c>
      <c r="D109" s="352">
        <f>'MEM.CÁLCULO (3)'!C956</f>
        <v>30</v>
      </c>
      <c r="E109" s="352">
        <v>25.85</v>
      </c>
      <c r="F109" s="358">
        <f t="shared" si="21"/>
        <v>775.50</v>
      </c>
      <c r="G109" s="359"/>
      <c r="H109" s="360">
        <f t="shared" si="11"/>
        <v>0</v>
      </c>
      <c r="I109" s="359"/>
      <c r="J109" s="360">
        <f t="shared" si="12"/>
        <v>0</v>
      </c>
      <c r="K109" s="359"/>
      <c r="L109" s="360">
        <f t="shared" si="13"/>
        <v>0</v>
      </c>
      <c r="M109" s="359"/>
      <c r="N109" s="360">
        <f t="shared" si="14"/>
        <v>0</v>
      </c>
      <c r="O109" s="359"/>
      <c r="P109" s="360">
        <f t="shared" si="15"/>
        <v>0</v>
      </c>
      <c r="Q109" s="359">
        <f t="shared" si="16"/>
        <v>0</v>
      </c>
      <c r="R109" s="360">
        <f t="shared" si="17"/>
        <v>0</v>
      </c>
      <c r="S109" s="361">
        <f t="shared" si="18"/>
        <v>30</v>
      </c>
      <c r="T109" s="362">
        <f t="shared" si="19"/>
        <v>775.50</v>
      </c>
    </row>
    <row r="110" spans="1:20" ht="39">
      <c r="A110" s="355" t="s">
        <v>643</v>
      </c>
      <c r="B110" s="377" t="s">
        <v>644</v>
      </c>
      <c r="C110" s="356" t="s">
        <v>29</v>
      </c>
      <c r="D110" s="352">
        <f>'MEM.CÁLCULO (3)'!C962</f>
        <v>25</v>
      </c>
      <c r="E110" s="352">
        <v>33.64</v>
      </c>
      <c r="F110" s="358">
        <f t="shared" si="21"/>
        <v>841</v>
      </c>
      <c r="G110" s="359"/>
      <c r="H110" s="360">
        <f t="shared" si="11"/>
        <v>0</v>
      </c>
      <c r="I110" s="359"/>
      <c r="J110" s="360">
        <f t="shared" si="12"/>
        <v>0</v>
      </c>
      <c r="K110" s="359"/>
      <c r="L110" s="360">
        <f t="shared" si="13"/>
        <v>0</v>
      </c>
      <c r="M110" s="359"/>
      <c r="N110" s="360">
        <f t="shared" si="14"/>
        <v>0</v>
      </c>
      <c r="O110" s="359"/>
      <c r="P110" s="360">
        <f t="shared" si="15"/>
        <v>0</v>
      </c>
      <c r="Q110" s="359">
        <f t="shared" si="16"/>
        <v>0</v>
      </c>
      <c r="R110" s="360">
        <f t="shared" si="17"/>
        <v>0</v>
      </c>
      <c r="S110" s="361">
        <f t="shared" si="18"/>
        <v>25</v>
      </c>
      <c r="T110" s="362">
        <f t="shared" si="19"/>
        <v>841</v>
      </c>
    </row>
    <row r="111" spans="1:20" ht="39">
      <c r="A111" s="355" t="s">
        <v>645</v>
      </c>
      <c r="B111" s="377" t="s">
        <v>646</v>
      </c>
      <c r="C111" s="356" t="s">
        <v>29</v>
      </c>
      <c r="D111" s="352">
        <f>'MEM.CÁLCULO (3)'!C968</f>
        <v>20</v>
      </c>
      <c r="E111" s="352">
        <v>42.17</v>
      </c>
      <c r="F111" s="358">
        <f t="shared" si="21"/>
        <v>843.40</v>
      </c>
      <c r="G111" s="359"/>
      <c r="H111" s="360">
        <f t="shared" si="11"/>
        <v>0</v>
      </c>
      <c r="I111" s="359"/>
      <c r="J111" s="360">
        <f t="shared" si="12"/>
        <v>0</v>
      </c>
      <c r="K111" s="359"/>
      <c r="L111" s="360">
        <f t="shared" si="13"/>
        <v>0</v>
      </c>
      <c r="M111" s="359"/>
      <c r="N111" s="360">
        <f t="shared" si="14"/>
        <v>0</v>
      </c>
      <c r="O111" s="359"/>
      <c r="P111" s="360">
        <f t="shared" si="15"/>
        <v>0</v>
      </c>
      <c r="Q111" s="359">
        <f t="shared" si="16"/>
        <v>0</v>
      </c>
      <c r="R111" s="360">
        <f t="shared" si="17"/>
        <v>0</v>
      </c>
      <c r="S111" s="361">
        <f t="shared" si="18"/>
        <v>20</v>
      </c>
      <c r="T111" s="362">
        <f t="shared" si="19"/>
        <v>843.40</v>
      </c>
    </row>
    <row r="112" spans="1:20" ht="39">
      <c r="A112" s="355" t="s">
        <v>647</v>
      </c>
      <c r="B112" s="377" t="s">
        <v>648</v>
      </c>
      <c r="C112" s="356" t="s">
        <v>29</v>
      </c>
      <c r="D112" s="352">
        <f>'MEM.CÁLCULO (3)'!C974</f>
        <v>50</v>
      </c>
      <c r="E112" s="352">
        <v>46.82</v>
      </c>
      <c r="F112" s="358">
        <f t="shared" si="21"/>
        <v>2341</v>
      </c>
      <c r="G112" s="359"/>
      <c r="H112" s="360">
        <f t="shared" si="11"/>
        <v>0</v>
      </c>
      <c r="I112" s="359"/>
      <c r="J112" s="360">
        <f t="shared" si="12"/>
        <v>0</v>
      </c>
      <c r="K112" s="359"/>
      <c r="L112" s="360">
        <f t="shared" si="13"/>
        <v>0</v>
      </c>
      <c r="M112" s="359"/>
      <c r="N112" s="360">
        <f t="shared" si="14"/>
        <v>0</v>
      </c>
      <c r="O112" s="359"/>
      <c r="P112" s="360">
        <f t="shared" si="15"/>
        <v>0</v>
      </c>
      <c r="Q112" s="359">
        <f t="shared" si="16"/>
        <v>0</v>
      </c>
      <c r="R112" s="360">
        <f t="shared" si="17"/>
        <v>0</v>
      </c>
      <c r="S112" s="361">
        <f t="shared" si="18"/>
        <v>50</v>
      </c>
      <c r="T112" s="362">
        <f t="shared" si="19"/>
        <v>2341</v>
      </c>
    </row>
    <row r="113" spans="1:20" ht="39">
      <c r="A113" s="355" t="s">
        <v>649</v>
      </c>
      <c r="B113" s="377" t="s">
        <v>650</v>
      </c>
      <c r="C113" s="356" t="s">
        <v>34</v>
      </c>
      <c r="D113" s="352">
        <f>'MEM.CÁLCULO (3)'!C980</f>
        <v>9</v>
      </c>
      <c r="E113" s="352">
        <v>8.14</v>
      </c>
      <c r="F113" s="358">
        <f t="shared" si="21"/>
        <v>73.260000000000005</v>
      </c>
      <c r="G113" s="359"/>
      <c r="H113" s="360">
        <f t="shared" si="11"/>
        <v>0</v>
      </c>
      <c r="I113" s="359"/>
      <c r="J113" s="360">
        <f t="shared" si="12"/>
        <v>0</v>
      </c>
      <c r="K113" s="359"/>
      <c r="L113" s="360">
        <f t="shared" si="13"/>
        <v>0</v>
      </c>
      <c r="M113" s="359"/>
      <c r="N113" s="360">
        <f t="shared" si="14"/>
        <v>0</v>
      </c>
      <c r="O113" s="359"/>
      <c r="P113" s="360">
        <f t="shared" si="15"/>
        <v>0</v>
      </c>
      <c r="Q113" s="359">
        <f t="shared" si="16"/>
        <v>0</v>
      </c>
      <c r="R113" s="360">
        <f t="shared" si="17"/>
        <v>0</v>
      </c>
      <c r="S113" s="361">
        <f t="shared" si="18"/>
        <v>9</v>
      </c>
      <c r="T113" s="362">
        <f t="shared" si="19"/>
        <v>73.260000000000005</v>
      </c>
    </row>
    <row r="114" spans="1:20" ht="39">
      <c r="A114" s="355" t="s">
        <v>651</v>
      </c>
      <c r="B114" s="377" t="s">
        <v>652</v>
      </c>
      <c r="C114" s="356" t="s">
        <v>34</v>
      </c>
      <c r="D114" s="352">
        <f>'MEM.CÁLCULO (3)'!C986</f>
        <v>10</v>
      </c>
      <c r="E114" s="352">
        <v>9.7100000000000009</v>
      </c>
      <c r="F114" s="358">
        <f t="shared" si="21"/>
        <v>97.10</v>
      </c>
      <c r="G114" s="359"/>
      <c r="H114" s="360">
        <f t="shared" si="11"/>
        <v>0</v>
      </c>
      <c r="I114" s="359"/>
      <c r="J114" s="360">
        <f t="shared" si="12"/>
        <v>0</v>
      </c>
      <c r="K114" s="359"/>
      <c r="L114" s="360">
        <f t="shared" si="13"/>
        <v>0</v>
      </c>
      <c r="M114" s="359"/>
      <c r="N114" s="360">
        <f t="shared" si="14"/>
        <v>0</v>
      </c>
      <c r="O114" s="359"/>
      <c r="P114" s="360">
        <f t="shared" si="15"/>
        <v>0</v>
      </c>
      <c r="Q114" s="359">
        <f t="shared" si="16"/>
        <v>0</v>
      </c>
      <c r="R114" s="360">
        <f t="shared" si="17"/>
        <v>0</v>
      </c>
      <c r="S114" s="361">
        <f t="shared" si="18"/>
        <v>10</v>
      </c>
      <c r="T114" s="362">
        <f t="shared" si="19"/>
        <v>97.10</v>
      </c>
    </row>
    <row r="115" spans="1:20" ht="39">
      <c r="A115" s="355" t="s">
        <v>653</v>
      </c>
      <c r="B115" s="377" t="s">
        <v>654</v>
      </c>
      <c r="C115" s="356" t="s">
        <v>34</v>
      </c>
      <c r="D115" s="352">
        <f>'MEM.CÁLCULO (3)'!C992</f>
        <v>5</v>
      </c>
      <c r="E115" s="352">
        <v>11.87</v>
      </c>
      <c r="F115" s="358">
        <f t="shared" si="21"/>
        <v>59.35</v>
      </c>
      <c r="G115" s="359"/>
      <c r="H115" s="360">
        <f t="shared" si="11"/>
        <v>0</v>
      </c>
      <c r="I115" s="359"/>
      <c r="J115" s="360">
        <f t="shared" si="12"/>
        <v>0</v>
      </c>
      <c r="K115" s="359"/>
      <c r="L115" s="360">
        <f t="shared" si="13"/>
        <v>0</v>
      </c>
      <c r="M115" s="359"/>
      <c r="N115" s="360">
        <f t="shared" si="14"/>
        <v>0</v>
      </c>
      <c r="O115" s="359"/>
      <c r="P115" s="360">
        <f t="shared" si="15"/>
        <v>0</v>
      </c>
      <c r="Q115" s="359">
        <f t="shared" si="16"/>
        <v>0</v>
      </c>
      <c r="R115" s="360">
        <f t="shared" si="17"/>
        <v>0</v>
      </c>
      <c r="S115" s="361">
        <f t="shared" si="18"/>
        <v>5</v>
      </c>
      <c r="T115" s="362">
        <f t="shared" si="19"/>
        <v>59.35</v>
      </c>
    </row>
    <row r="116" spans="1:20" ht="39">
      <c r="A116" s="355" t="s">
        <v>655</v>
      </c>
      <c r="B116" s="377" t="s">
        <v>656</v>
      </c>
      <c r="C116" s="356" t="s">
        <v>34</v>
      </c>
      <c r="D116" s="352">
        <f>'MEM.CÁLCULO (3)'!C998</f>
        <v>1</v>
      </c>
      <c r="E116" s="352">
        <v>13.07</v>
      </c>
      <c r="F116" s="358">
        <f t="shared" si="21"/>
        <v>13.07</v>
      </c>
      <c r="G116" s="359"/>
      <c r="H116" s="360">
        <f t="shared" si="11"/>
        <v>0</v>
      </c>
      <c r="I116" s="359"/>
      <c r="J116" s="360">
        <f t="shared" si="12"/>
        <v>0</v>
      </c>
      <c r="K116" s="359"/>
      <c r="L116" s="360">
        <f t="shared" si="13"/>
        <v>0</v>
      </c>
      <c r="M116" s="359"/>
      <c r="N116" s="360">
        <f t="shared" si="14"/>
        <v>0</v>
      </c>
      <c r="O116" s="359"/>
      <c r="P116" s="360">
        <f t="shared" si="15"/>
        <v>0</v>
      </c>
      <c r="Q116" s="359">
        <f t="shared" si="16"/>
        <v>0</v>
      </c>
      <c r="R116" s="360">
        <f t="shared" si="17"/>
        <v>0</v>
      </c>
      <c r="S116" s="361">
        <f t="shared" si="18"/>
        <v>1</v>
      </c>
      <c r="T116" s="362">
        <f t="shared" si="19"/>
        <v>13.07</v>
      </c>
    </row>
    <row r="117" spans="1:20" ht="39">
      <c r="A117" s="355" t="s">
        <v>657</v>
      </c>
      <c r="B117" s="377" t="s">
        <v>658</v>
      </c>
      <c r="C117" s="356" t="s">
        <v>34</v>
      </c>
      <c r="D117" s="352">
        <f>'MEM.CÁLCULO (3)'!C1004</f>
        <v>5</v>
      </c>
      <c r="E117" s="352">
        <v>16.32</v>
      </c>
      <c r="F117" s="358">
        <f t="shared" si="21"/>
        <v>81.599999999999994</v>
      </c>
      <c r="G117" s="359"/>
      <c r="H117" s="360">
        <f t="shared" si="11"/>
        <v>0</v>
      </c>
      <c r="I117" s="359"/>
      <c r="J117" s="360">
        <f t="shared" si="12"/>
        <v>0</v>
      </c>
      <c r="K117" s="359"/>
      <c r="L117" s="360">
        <f t="shared" si="13"/>
        <v>0</v>
      </c>
      <c r="M117" s="359"/>
      <c r="N117" s="360">
        <f t="shared" si="14"/>
        <v>0</v>
      </c>
      <c r="O117" s="359"/>
      <c r="P117" s="360">
        <f t="shared" si="15"/>
        <v>0</v>
      </c>
      <c r="Q117" s="359">
        <f t="shared" si="16"/>
        <v>0</v>
      </c>
      <c r="R117" s="360">
        <f t="shared" si="17"/>
        <v>0</v>
      </c>
      <c r="S117" s="361">
        <f t="shared" si="18"/>
        <v>5</v>
      </c>
      <c r="T117" s="362">
        <f t="shared" si="19"/>
        <v>81.599999999999994</v>
      </c>
    </row>
    <row r="118" spans="1:20" ht="39">
      <c r="A118" s="355" t="s">
        <v>659</v>
      </c>
      <c r="B118" s="377" t="s">
        <v>660</v>
      </c>
      <c r="C118" s="356" t="s">
        <v>34</v>
      </c>
      <c r="D118" s="352">
        <f>'MEM.CÁLCULO (3)'!C1010</f>
        <v>19</v>
      </c>
      <c r="E118" s="352">
        <v>21.83</v>
      </c>
      <c r="F118" s="358">
        <f t="shared" si="21"/>
        <v>414.77</v>
      </c>
      <c r="G118" s="359"/>
      <c r="H118" s="360">
        <f t="shared" si="11"/>
        <v>0</v>
      </c>
      <c r="I118" s="359"/>
      <c r="J118" s="360">
        <f t="shared" si="12"/>
        <v>0</v>
      </c>
      <c r="K118" s="359"/>
      <c r="L118" s="360">
        <f t="shared" si="13"/>
        <v>0</v>
      </c>
      <c r="M118" s="359"/>
      <c r="N118" s="360">
        <f t="shared" si="14"/>
        <v>0</v>
      </c>
      <c r="O118" s="359"/>
      <c r="P118" s="360">
        <f t="shared" si="15"/>
        <v>0</v>
      </c>
      <c r="Q118" s="359">
        <f t="shared" si="16"/>
        <v>0</v>
      </c>
      <c r="R118" s="360">
        <f t="shared" si="17"/>
        <v>0</v>
      </c>
      <c r="S118" s="361">
        <f t="shared" si="18"/>
        <v>19</v>
      </c>
      <c r="T118" s="362">
        <f t="shared" si="19"/>
        <v>414.77</v>
      </c>
    </row>
    <row r="119" spans="1:20" ht="26">
      <c r="A119" s="355" t="s">
        <v>661</v>
      </c>
      <c r="B119" s="377" t="s">
        <v>662</v>
      </c>
      <c r="C119" s="356" t="s">
        <v>34</v>
      </c>
      <c r="D119" s="352">
        <f>'MEM.CÁLCULO (3)'!C1016</f>
        <v>2</v>
      </c>
      <c r="E119" s="352">
        <v>26.83</v>
      </c>
      <c r="F119" s="358">
        <f t="shared" si="21"/>
        <v>53.66</v>
      </c>
      <c r="G119" s="359"/>
      <c r="H119" s="360">
        <f t="shared" si="11"/>
        <v>0</v>
      </c>
      <c r="I119" s="359"/>
      <c r="J119" s="360">
        <f t="shared" si="12"/>
        <v>0</v>
      </c>
      <c r="K119" s="359"/>
      <c r="L119" s="360">
        <f t="shared" si="13"/>
        <v>0</v>
      </c>
      <c r="M119" s="359"/>
      <c r="N119" s="360">
        <f t="shared" si="14"/>
        <v>0</v>
      </c>
      <c r="O119" s="359"/>
      <c r="P119" s="360">
        <f t="shared" si="15"/>
        <v>0</v>
      </c>
      <c r="Q119" s="359">
        <f t="shared" si="16"/>
        <v>0</v>
      </c>
      <c r="R119" s="360">
        <f t="shared" si="17"/>
        <v>0</v>
      </c>
      <c r="S119" s="361">
        <f t="shared" si="18"/>
        <v>2</v>
      </c>
      <c r="T119" s="362">
        <f t="shared" si="19"/>
        <v>53.66</v>
      </c>
    </row>
    <row r="120" spans="1:20" ht="39">
      <c r="A120" s="355" t="s">
        <v>663</v>
      </c>
      <c r="B120" s="377" t="s">
        <v>664</v>
      </c>
      <c r="C120" s="356" t="s">
        <v>34</v>
      </c>
      <c r="D120" s="352">
        <f>'MEM.CÁLCULO (3)'!C1022</f>
        <v>5</v>
      </c>
      <c r="E120" s="352">
        <v>95.03</v>
      </c>
      <c r="F120" s="358">
        <f t="shared" si="21"/>
        <v>475.15</v>
      </c>
      <c r="G120" s="359"/>
      <c r="H120" s="360">
        <f t="shared" si="11"/>
        <v>0</v>
      </c>
      <c r="I120" s="359"/>
      <c r="J120" s="360">
        <f t="shared" si="12"/>
        <v>0</v>
      </c>
      <c r="K120" s="359"/>
      <c r="L120" s="360">
        <f t="shared" si="13"/>
        <v>0</v>
      </c>
      <c r="M120" s="359"/>
      <c r="N120" s="360">
        <f t="shared" si="14"/>
        <v>0</v>
      </c>
      <c r="O120" s="359"/>
      <c r="P120" s="360">
        <f t="shared" si="15"/>
        <v>0</v>
      </c>
      <c r="Q120" s="359">
        <f t="shared" si="16"/>
        <v>0</v>
      </c>
      <c r="R120" s="360">
        <f t="shared" si="17"/>
        <v>0</v>
      </c>
      <c r="S120" s="361">
        <f t="shared" si="18"/>
        <v>5</v>
      </c>
      <c r="T120" s="362">
        <f t="shared" si="19"/>
        <v>475.15</v>
      </c>
    </row>
    <row r="121" spans="1:20" ht="39">
      <c r="A121" s="355" t="s">
        <v>665</v>
      </c>
      <c r="B121" s="377" t="s">
        <v>666</v>
      </c>
      <c r="C121" s="356" t="s">
        <v>34</v>
      </c>
      <c r="D121" s="352">
        <f>'MEM.CÁLCULO (3)'!C1028</f>
        <v>6</v>
      </c>
      <c r="E121" s="352">
        <v>36.549999999999997</v>
      </c>
      <c r="F121" s="358">
        <f t="shared" si="21"/>
        <v>219.30</v>
      </c>
      <c r="G121" s="359"/>
      <c r="H121" s="360">
        <f t="shared" si="11"/>
        <v>0</v>
      </c>
      <c r="I121" s="359"/>
      <c r="J121" s="360">
        <f t="shared" si="12"/>
        <v>0</v>
      </c>
      <c r="K121" s="359"/>
      <c r="L121" s="360">
        <f t="shared" si="13"/>
        <v>0</v>
      </c>
      <c r="M121" s="359"/>
      <c r="N121" s="360">
        <f t="shared" si="14"/>
        <v>0</v>
      </c>
      <c r="O121" s="359"/>
      <c r="P121" s="360">
        <f t="shared" si="15"/>
        <v>0</v>
      </c>
      <c r="Q121" s="359">
        <f t="shared" si="16"/>
        <v>0</v>
      </c>
      <c r="R121" s="360">
        <f t="shared" si="17"/>
        <v>0</v>
      </c>
      <c r="S121" s="361">
        <f t="shared" si="18"/>
        <v>6</v>
      </c>
      <c r="T121" s="362">
        <f t="shared" si="19"/>
        <v>219.30</v>
      </c>
    </row>
    <row r="122" spans="1:20" ht="39">
      <c r="A122" s="355" t="s">
        <v>667</v>
      </c>
      <c r="B122" s="377" t="s">
        <v>668</v>
      </c>
      <c r="C122" s="356" t="s">
        <v>34</v>
      </c>
      <c r="D122" s="352">
        <f>'MEM.CÁLCULO (3)'!C1034</f>
        <v>5</v>
      </c>
      <c r="E122" s="352">
        <v>19.420000000000002</v>
      </c>
      <c r="F122" s="358">
        <f t="shared" si="21"/>
        <v>97.10</v>
      </c>
      <c r="G122" s="359"/>
      <c r="H122" s="360">
        <f t="shared" si="11"/>
        <v>0</v>
      </c>
      <c r="I122" s="359"/>
      <c r="J122" s="360">
        <f t="shared" si="12"/>
        <v>0</v>
      </c>
      <c r="K122" s="359"/>
      <c r="L122" s="360">
        <f t="shared" si="13"/>
        <v>0</v>
      </c>
      <c r="M122" s="359"/>
      <c r="N122" s="360">
        <f t="shared" si="14"/>
        <v>0</v>
      </c>
      <c r="O122" s="359"/>
      <c r="P122" s="360">
        <f t="shared" si="15"/>
        <v>0</v>
      </c>
      <c r="Q122" s="359">
        <f t="shared" si="16"/>
        <v>0</v>
      </c>
      <c r="R122" s="360">
        <f t="shared" si="17"/>
        <v>0</v>
      </c>
      <c r="S122" s="361">
        <f t="shared" si="18"/>
        <v>5</v>
      </c>
      <c r="T122" s="362">
        <f t="shared" si="19"/>
        <v>97.10</v>
      </c>
    </row>
    <row r="123" spans="1:20" ht="39">
      <c r="A123" s="355" t="s">
        <v>669</v>
      </c>
      <c r="B123" s="377" t="s">
        <v>670</v>
      </c>
      <c r="C123" s="356" t="s">
        <v>34</v>
      </c>
      <c r="D123" s="352">
        <f>'MEM.CÁLCULO (3)'!C1040</f>
        <v>1</v>
      </c>
      <c r="E123" s="352">
        <v>17.53</v>
      </c>
      <c r="F123" s="358">
        <f t="shared" si="21"/>
        <v>17.53</v>
      </c>
      <c r="G123" s="359"/>
      <c r="H123" s="360">
        <f t="shared" si="11"/>
        <v>0</v>
      </c>
      <c r="I123" s="359"/>
      <c r="J123" s="360">
        <f t="shared" si="12"/>
        <v>0</v>
      </c>
      <c r="K123" s="359"/>
      <c r="L123" s="360">
        <f t="shared" si="13"/>
        <v>0</v>
      </c>
      <c r="M123" s="359"/>
      <c r="N123" s="360">
        <f t="shared" si="14"/>
        <v>0</v>
      </c>
      <c r="O123" s="359"/>
      <c r="P123" s="360">
        <f t="shared" si="15"/>
        <v>0</v>
      </c>
      <c r="Q123" s="359">
        <f t="shared" si="16"/>
        <v>0</v>
      </c>
      <c r="R123" s="360">
        <f t="shared" si="17"/>
        <v>0</v>
      </c>
      <c r="S123" s="361">
        <f t="shared" si="18"/>
        <v>1</v>
      </c>
      <c r="T123" s="362">
        <f t="shared" si="19"/>
        <v>17.53</v>
      </c>
    </row>
    <row r="124" spans="1:20" ht="39">
      <c r="A124" s="355" t="s">
        <v>671</v>
      </c>
      <c r="B124" s="377" t="s">
        <v>672</v>
      </c>
      <c r="C124" s="356" t="s">
        <v>34</v>
      </c>
      <c r="D124" s="352">
        <f>'MEM.CÁLCULO (3)'!C1046</f>
        <v>6</v>
      </c>
      <c r="E124" s="352">
        <v>27.43</v>
      </c>
      <c r="F124" s="358">
        <f t="shared" si="21"/>
        <v>164.58</v>
      </c>
      <c r="G124" s="359"/>
      <c r="H124" s="360">
        <f t="shared" si="11"/>
        <v>0</v>
      </c>
      <c r="I124" s="359"/>
      <c r="J124" s="360">
        <f t="shared" si="12"/>
        <v>0</v>
      </c>
      <c r="K124" s="359"/>
      <c r="L124" s="360">
        <f t="shared" si="13"/>
        <v>0</v>
      </c>
      <c r="M124" s="359"/>
      <c r="N124" s="360">
        <f t="shared" si="14"/>
        <v>0</v>
      </c>
      <c r="O124" s="359"/>
      <c r="P124" s="360">
        <f t="shared" si="15"/>
        <v>0</v>
      </c>
      <c r="Q124" s="359">
        <f t="shared" si="16"/>
        <v>0</v>
      </c>
      <c r="R124" s="360">
        <f t="shared" si="17"/>
        <v>0</v>
      </c>
      <c r="S124" s="361">
        <f t="shared" si="18"/>
        <v>6</v>
      </c>
      <c r="T124" s="362">
        <f t="shared" si="19"/>
        <v>164.58</v>
      </c>
    </row>
    <row r="125" spans="1:20" ht="13">
      <c r="A125" s="355" t="s">
        <v>673</v>
      </c>
      <c r="B125" s="377" t="s">
        <v>674</v>
      </c>
      <c r="C125" s="356" t="s">
        <v>34</v>
      </c>
      <c r="D125" s="352">
        <f>'MEM.CÁLCULO (3)'!C1052</f>
        <v>12</v>
      </c>
      <c r="E125" s="352">
        <v>834.13</v>
      </c>
      <c r="F125" s="358">
        <f t="shared" si="21"/>
        <v>10009.56</v>
      </c>
      <c r="G125" s="359"/>
      <c r="H125" s="360">
        <f t="shared" si="11"/>
        <v>0</v>
      </c>
      <c r="I125" s="359"/>
      <c r="J125" s="360">
        <f t="shared" si="12"/>
        <v>0</v>
      </c>
      <c r="K125" s="359"/>
      <c r="L125" s="360">
        <f t="shared" si="13"/>
        <v>0</v>
      </c>
      <c r="M125" s="359"/>
      <c r="N125" s="360">
        <f t="shared" si="14"/>
        <v>0</v>
      </c>
      <c r="O125" s="359"/>
      <c r="P125" s="360">
        <f t="shared" si="15"/>
        <v>0</v>
      </c>
      <c r="Q125" s="359">
        <f t="shared" si="16"/>
        <v>0</v>
      </c>
      <c r="R125" s="360">
        <f t="shared" si="17"/>
        <v>0</v>
      </c>
      <c r="S125" s="361">
        <f t="shared" si="18"/>
        <v>12</v>
      </c>
      <c r="T125" s="362">
        <f t="shared" si="19"/>
        <v>10009.56</v>
      </c>
    </row>
    <row r="126" spans="1:20" ht="52">
      <c r="A126" s="355" t="s">
        <v>675</v>
      </c>
      <c r="B126" s="377" t="s">
        <v>676</v>
      </c>
      <c r="C126" s="356" t="s">
        <v>34</v>
      </c>
      <c r="D126" s="352">
        <f>'MEM.CÁLCULO (3)'!C1058</f>
        <v>1</v>
      </c>
      <c r="E126" s="352">
        <v>8612.0499999999993</v>
      </c>
      <c r="F126" s="358">
        <f t="shared" si="21"/>
        <v>8612.0499999999993</v>
      </c>
      <c r="G126" s="359"/>
      <c r="H126" s="360">
        <f t="shared" si="11"/>
        <v>0</v>
      </c>
      <c r="I126" s="359"/>
      <c r="J126" s="360">
        <f t="shared" si="12"/>
        <v>0</v>
      </c>
      <c r="K126" s="359"/>
      <c r="L126" s="360">
        <f t="shared" si="13"/>
        <v>0</v>
      </c>
      <c r="M126" s="359"/>
      <c r="N126" s="360">
        <f t="shared" si="14"/>
        <v>0</v>
      </c>
      <c r="O126" s="359"/>
      <c r="P126" s="360">
        <f t="shared" si="15"/>
        <v>0</v>
      </c>
      <c r="Q126" s="359">
        <f t="shared" si="16"/>
        <v>0</v>
      </c>
      <c r="R126" s="360">
        <f t="shared" si="17"/>
        <v>0</v>
      </c>
      <c r="S126" s="361">
        <f t="shared" si="18"/>
        <v>1</v>
      </c>
      <c r="T126" s="362">
        <f t="shared" si="19"/>
        <v>8612.0499999999993</v>
      </c>
    </row>
    <row r="127" spans="1:20" ht="39">
      <c r="A127" s="355" t="s">
        <v>677</v>
      </c>
      <c r="B127" s="377" t="s">
        <v>678</v>
      </c>
      <c r="C127" s="356" t="s">
        <v>34</v>
      </c>
      <c r="D127" s="352">
        <f>'MEM.CÁLCULO (3)'!C1064</f>
        <v>1</v>
      </c>
      <c r="E127" s="352">
        <v>5832.59</v>
      </c>
      <c r="F127" s="358">
        <f t="shared" si="21"/>
        <v>5832.59</v>
      </c>
      <c r="G127" s="359"/>
      <c r="H127" s="360">
        <f t="shared" si="11"/>
        <v>0</v>
      </c>
      <c r="I127" s="359"/>
      <c r="J127" s="360">
        <f t="shared" si="12"/>
        <v>0</v>
      </c>
      <c r="K127" s="359"/>
      <c r="L127" s="360">
        <f t="shared" si="13"/>
        <v>0</v>
      </c>
      <c r="M127" s="359"/>
      <c r="N127" s="360">
        <f t="shared" si="14"/>
        <v>0</v>
      </c>
      <c r="O127" s="359"/>
      <c r="P127" s="360">
        <f t="shared" si="15"/>
        <v>0</v>
      </c>
      <c r="Q127" s="359">
        <f t="shared" si="16"/>
        <v>0</v>
      </c>
      <c r="R127" s="360">
        <f t="shared" si="17"/>
        <v>0</v>
      </c>
      <c r="S127" s="361">
        <f t="shared" si="18"/>
        <v>1</v>
      </c>
      <c r="T127" s="362">
        <f t="shared" si="19"/>
        <v>5832.59</v>
      </c>
    </row>
    <row r="128" spans="1:20" ht="13">
      <c r="A128" s="355"/>
      <c r="B128" s="88"/>
      <c r="C128" s="356"/>
      <c r="D128" s="352"/>
      <c r="E128" s="363"/>
      <c r="F128" s="358"/>
      <c r="G128" s="359"/>
      <c r="H128" s="360"/>
      <c r="I128" s="359"/>
      <c r="J128" s="360"/>
      <c r="K128" s="359"/>
      <c r="L128" s="360"/>
      <c r="M128" s="359"/>
      <c r="N128" s="360"/>
      <c r="O128" s="359"/>
      <c r="P128" s="360"/>
      <c r="Q128" s="359"/>
      <c r="R128" s="360"/>
      <c r="S128" s="361"/>
      <c r="T128" s="362"/>
    </row>
    <row r="129" spans="1:20" s="321" customFormat="1" ht="13">
      <c r="A129" s="385" t="s">
        <v>679</v>
      </c>
      <c r="B129" s="386" t="s">
        <v>680</v>
      </c>
      <c r="C129" s="364"/>
      <c r="D129" s="352"/>
      <c r="E129" s="353"/>
      <c r="F129" s="353">
        <f>SUM(F130:F141)</f>
        <v>29849.17</v>
      </c>
      <c r="G129" s="372"/>
      <c r="H129" s="360"/>
      <c r="I129" s="372"/>
      <c r="J129" s="360"/>
      <c r="K129" s="372"/>
      <c r="L129" s="360"/>
      <c r="M129" s="372"/>
      <c r="N129" s="360"/>
      <c r="O129" s="372"/>
      <c r="P129" s="360"/>
      <c r="Q129" s="359"/>
      <c r="R129" s="360"/>
      <c r="S129" s="361"/>
      <c r="T129" s="362"/>
    </row>
    <row r="130" spans="1:20" ht="26">
      <c r="A130" s="387" t="s">
        <v>681</v>
      </c>
      <c r="B130" s="377" t="s">
        <v>682</v>
      </c>
      <c r="C130" s="356" t="s">
        <v>34</v>
      </c>
      <c r="D130" s="352">
        <f>'MEM.CÁLCULO (3)'!C1078</f>
        <v>7</v>
      </c>
      <c r="E130" s="352">
        <v>618.88</v>
      </c>
      <c r="F130" s="358">
        <f t="shared" si="22" ref="F130:F141">E130*D130</f>
        <v>4332.16</v>
      </c>
      <c r="G130" s="359"/>
      <c r="H130" s="360">
        <f t="shared" si="11"/>
        <v>0</v>
      </c>
      <c r="I130" s="359"/>
      <c r="J130" s="360">
        <f t="shared" si="12"/>
        <v>0</v>
      </c>
      <c r="K130" s="359"/>
      <c r="L130" s="360">
        <f t="shared" si="13"/>
        <v>0</v>
      </c>
      <c r="M130" s="359"/>
      <c r="N130" s="360">
        <f t="shared" si="14"/>
        <v>0</v>
      </c>
      <c r="O130" s="359"/>
      <c r="P130" s="360">
        <f t="shared" si="15"/>
        <v>0</v>
      </c>
      <c r="Q130" s="359">
        <f t="shared" si="16"/>
        <v>0</v>
      </c>
      <c r="R130" s="360">
        <f t="shared" si="17"/>
        <v>0</v>
      </c>
      <c r="S130" s="361">
        <f t="shared" si="18"/>
        <v>7</v>
      </c>
      <c r="T130" s="362">
        <f t="shared" si="19"/>
        <v>4332.16</v>
      </c>
    </row>
    <row r="131" spans="1:20" ht="26">
      <c r="A131" s="387" t="s">
        <v>683</v>
      </c>
      <c r="B131" s="377" t="s">
        <v>684</v>
      </c>
      <c r="C131" s="356" t="s">
        <v>34</v>
      </c>
      <c r="D131" s="352">
        <f>'MEM.CÁLCULO (3)'!C1090</f>
        <v>7</v>
      </c>
      <c r="E131" s="352">
        <v>50.70</v>
      </c>
      <c r="F131" s="358">
        <f t="shared" si="22"/>
        <v>354.90</v>
      </c>
      <c r="G131" s="359"/>
      <c r="H131" s="360">
        <f t="shared" si="11"/>
        <v>0</v>
      </c>
      <c r="I131" s="359"/>
      <c r="J131" s="360">
        <f t="shared" si="12"/>
        <v>0</v>
      </c>
      <c r="K131" s="359"/>
      <c r="L131" s="360">
        <f t="shared" si="13"/>
        <v>0</v>
      </c>
      <c r="M131" s="359"/>
      <c r="N131" s="360">
        <f t="shared" si="14"/>
        <v>0</v>
      </c>
      <c r="O131" s="359"/>
      <c r="P131" s="360">
        <f t="shared" si="15"/>
        <v>0</v>
      </c>
      <c r="Q131" s="359">
        <f t="shared" si="16"/>
        <v>0</v>
      </c>
      <c r="R131" s="360">
        <f t="shared" si="17"/>
        <v>0</v>
      </c>
      <c r="S131" s="361">
        <f t="shared" si="18"/>
        <v>7</v>
      </c>
      <c r="T131" s="362">
        <f t="shared" si="19"/>
        <v>354.90</v>
      </c>
    </row>
    <row r="132" spans="1:20" ht="65">
      <c r="A132" s="387" t="s">
        <v>685</v>
      </c>
      <c r="B132" s="377" t="s">
        <v>686</v>
      </c>
      <c r="C132" s="356" t="s">
        <v>34</v>
      </c>
      <c r="D132" s="352">
        <f>'MEM.CÁLCULO (3)'!C1104</f>
        <v>9</v>
      </c>
      <c r="E132" s="352">
        <v>956.34</v>
      </c>
      <c r="F132" s="358">
        <f t="shared" si="22"/>
        <v>8607.06</v>
      </c>
      <c r="G132" s="359"/>
      <c r="H132" s="360">
        <f t="shared" si="11"/>
        <v>0</v>
      </c>
      <c r="I132" s="359"/>
      <c r="J132" s="360">
        <f t="shared" si="12"/>
        <v>0</v>
      </c>
      <c r="K132" s="359"/>
      <c r="L132" s="360">
        <f t="shared" si="13"/>
        <v>0</v>
      </c>
      <c r="M132" s="359"/>
      <c r="N132" s="360">
        <f t="shared" si="14"/>
        <v>0</v>
      </c>
      <c r="O132" s="359"/>
      <c r="P132" s="360">
        <f t="shared" si="15"/>
        <v>0</v>
      </c>
      <c r="Q132" s="359">
        <f t="shared" si="16"/>
        <v>0</v>
      </c>
      <c r="R132" s="360">
        <f t="shared" si="17"/>
        <v>0</v>
      </c>
      <c r="S132" s="361">
        <f t="shared" si="18"/>
        <v>9</v>
      </c>
      <c r="T132" s="362">
        <f t="shared" si="19"/>
        <v>8607.06</v>
      </c>
    </row>
    <row r="133" spans="1:20" ht="13">
      <c r="A133" s="387" t="s">
        <v>687</v>
      </c>
      <c r="B133" s="377" t="s">
        <v>688</v>
      </c>
      <c r="C133" s="356" t="s">
        <v>34</v>
      </c>
      <c r="D133" s="352">
        <f>'MEM.CÁLCULO (3)'!C1116</f>
        <v>7</v>
      </c>
      <c r="E133" s="352">
        <v>112.02</v>
      </c>
      <c r="F133" s="358">
        <f t="shared" si="22"/>
        <v>784.14</v>
      </c>
      <c r="G133" s="359"/>
      <c r="H133" s="360">
        <f t="shared" si="11"/>
        <v>0</v>
      </c>
      <c r="I133" s="359"/>
      <c r="J133" s="360">
        <f t="shared" si="12"/>
        <v>0</v>
      </c>
      <c r="K133" s="359"/>
      <c r="L133" s="360">
        <f t="shared" si="13"/>
        <v>0</v>
      </c>
      <c r="M133" s="359"/>
      <c r="N133" s="360">
        <f t="shared" si="14"/>
        <v>0</v>
      </c>
      <c r="O133" s="359"/>
      <c r="P133" s="360">
        <f t="shared" si="15"/>
        <v>0</v>
      </c>
      <c r="Q133" s="359">
        <f t="shared" si="16"/>
        <v>0</v>
      </c>
      <c r="R133" s="360">
        <f t="shared" si="17"/>
        <v>0</v>
      </c>
      <c r="S133" s="361">
        <f t="shared" si="18"/>
        <v>7</v>
      </c>
      <c r="T133" s="362">
        <f t="shared" si="19"/>
        <v>784.14</v>
      </c>
    </row>
    <row r="134" spans="1:20" ht="26">
      <c r="A134" s="387" t="s">
        <v>689</v>
      </c>
      <c r="B134" s="377" t="s">
        <v>690</v>
      </c>
      <c r="C134" s="356" t="s">
        <v>24</v>
      </c>
      <c r="D134" s="352">
        <f>'MEM.CÁLCULO (3)'!C1122</f>
        <v>1</v>
      </c>
      <c r="E134" s="352">
        <v>4408.22</v>
      </c>
      <c r="F134" s="358">
        <f t="shared" si="22"/>
        <v>4408.22</v>
      </c>
      <c r="G134" s="359"/>
      <c r="H134" s="360">
        <f t="shared" si="11"/>
        <v>0</v>
      </c>
      <c r="I134" s="359"/>
      <c r="J134" s="360">
        <f t="shared" si="12"/>
        <v>0</v>
      </c>
      <c r="K134" s="359"/>
      <c r="L134" s="360">
        <f t="shared" si="13"/>
        <v>0</v>
      </c>
      <c r="M134" s="359"/>
      <c r="N134" s="360">
        <f t="shared" si="14"/>
        <v>0</v>
      </c>
      <c r="O134" s="359"/>
      <c r="P134" s="360">
        <f t="shared" si="15"/>
        <v>0</v>
      </c>
      <c r="Q134" s="359">
        <f t="shared" si="16"/>
        <v>0</v>
      </c>
      <c r="R134" s="360">
        <f t="shared" si="17"/>
        <v>0</v>
      </c>
      <c r="S134" s="361">
        <f t="shared" si="18"/>
        <v>1</v>
      </c>
      <c r="T134" s="362">
        <f t="shared" si="19"/>
        <v>4408.22</v>
      </c>
    </row>
    <row r="135" spans="1:20" ht="39">
      <c r="A135" s="387" t="s">
        <v>691</v>
      </c>
      <c r="B135" s="377" t="s">
        <v>692</v>
      </c>
      <c r="C135" s="356" t="s">
        <v>34</v>
      </c>
      <c r="D135" s="352">
        <f>'MEM.CÁLCULO (3)'!C1134</f>
        <v>7</v>
      </c>
      <c r="E135" s="352">
        <v>109.48</v>
      </c>
      <c r="F135" s="358">
        <f t="shared" si="22"/>
        <v>766.36</v>
      </c>
      <c r="G135" s="359"/>
      <c r="H135" s="360">
        <f t="shared" si="11"/>
        <v>0</v>
      </c>
      <c r="I135" s="359"/>
      <c r="J135" s="360">
        <f t="shared" si="12"/>
        <v>0</v>
      </c>
      <c r="K135" s="359"/>
      <c r="L135" s="360">
        <f t="shared" si="13"/>
        <v>0</v>
      </c>
      <c r="M135" s="359"/>
      <c r="N135" s="360">
        <f t="shared" si="14"/>
        <v>0</v>
      </c>
      <c r="O135" s="359"/>
      <c r="P135" s="360">
        <f t="shared" si="15"/>
        <v>0</v>
      </c>
      <c r="Q135" s="359">
        <f t="shared" si="16"/>
        <v>0</v>
      </c>
      <c r="R135" s="360">
        <f t="shared" si="17"/>
        <v>0</v>
      </c>
      <c r="S135" s="361">
        <f t="shared" si="18"/>
        <v>7</v>
      </c>
      <c r="T135" s="362">
        <f t="shared" si="19"/>
        <v>766.36</v>
      </c>
    </row>
    <row r="136" spans="1:20" ht="39">
      <c r="A136" s="387" t="s">
        <v>693</v>
      </c>
      <c r="B136" s="388" t="s">
        <v>694</v>
      </c>
      <c r="C136" s="356" t="s">
        <v>34</v>
      </c>
      <c r="D136" s="352">
        <f>'MEM.CÁLCULO (3)'!C1144</f>
        <v>5</v>
      </c>
      <c r="E136" s="352">
        <v>421.92</v>
      </c>
      <c r="F136" s="358">
        <f t="shared" si="22"/>
        <v>2109.60</v>
      </c>
      <c r="G136" s="359"/>
      <c r="H136" s="360">
        <f t="shared" si="11"/>
        <v>0</v>
      </c>
      <c r="I136" s="359"/>
      <c r="J136" s="360">
        <f t="shared" si="12"/>
        <v>0</v>
      </c>
      <c r="K136" s="359"/>
      <c r="L136" s="360">
        <f t="shared" si="13"/>
        <v>0</v>
      </c>
      <c r="M136" s="359"/>
      <c r="N136" s="360">
        <f t="shared" si="14"/>
        <v>0</v>
      </c>
      <c r="O136" s="359"/>
      <c r="P136" s="360">
        <f t="shared" si="15"/>
        <v>0</v>
      </c>
      <c r="Q136" s="359">
        <f t="shared" si="16"/>
        <v>0</v>
      </c>
      <c r="R136" s="360">
        <f t="shared" si="17"/>
        <v>0</v>
      </c>
      <c r="S136" s="361">
        <f t="shared" si="18"/>
        <v>5</v>
      </c>
      <c r="T136" s="362">
        <f t="shared" si="19"/>
        <v>2109.60</v>
      </c>
    </row>
    <row r="137" spans="1:20" ht="13">
      <c r="A137" s="387" t="s">
        <v>695</v>
      </c>
      <c r="B137" s="388" t="s">
        <v>696</v>
      </c>
      <c r="C137" s="356" t="s">
        <v>34</v>
      </c>
      <c r="D137" s="352">
        <f>'MEM.CÁLCULO (3)'!C1155</f>
        <v>6</v>
      </c>
      <c r="E137" s="352">
        <v>117.26</v>
      </c>
      <c r="F137" s="358">
        <f t="shared" si="22"/>
        <v>703.56</v>
      </c>
      <c r="G137" s="359"/>
      <c r="H137" s="360">
        <f t="shared" si="11"/>
        <v>0</v>
      </c>
      <c r="I137" s="359"/>
      <c r="J137" s="360">
        <f t="shared" si="12"/>
        <v>0</v>
      </c>
      <c r="K137" s="359"/>
      <c r="L137" s="360">
        <f t="shared" si="13"/>
        <v>0</v>
      </c>
      <c r="M137" s="359"/>
      <c r="N137" s="360">
        <f t="shared" si="14"/>
        <v>0</v>
      </c>
      <c r="O137" s="359"/>
      <c r="P137" s="360">
        <f t="shared" si="15"/>
        <v>0</v>
      </c>
      <c r="Q137" s="359">
        <f t="shared" si="16"/>
        <v>0</v>
      </c>
      <c r="R137" s="360">
        <f t="shared" si="17"/>
        <v>0</v>
      </c>
      <c r="S137" s="361">
        <f t="shared" si="18"/>
        <v>6</v>
      </c>
      <c r="T137" s="362">
        <f t="shared" si="19"/>
        <v>703.56</v>
      </c>
    </row>
    <row r="138" spans="1:20" ht="13">
      <c r="A138" s="387" t="s">
        <v>697</v>
      </c>
      <c r="B138" s="388" t="s">
        <v>698</v>
      </c>
      <c r="C138" s="356" t="s">
        <v>34</v>
      </c>
      <c r="D138" s="352">
        <f>'MEM.CÁLCULO (3)'!C1167</f>
        <v>7</v>
      </c>
      <c r="E138" s="352">
        <v>215.37</v>
      </c>
      <c r="F138" s="358">
        <f t="shared" si="22"/>
        <v>1507.59</v>
      </c>
      <c r="G138" s="359"/>
      <c r="H138" s="360">
        <f t="shared" si="11"/>
        <v>0</v>
      </c>
      <c r="I138" s="359"/>
      <c r="J138" s="360">
        <f t="shared" si="12"/>
        <v>0</v>
      </c>
      <c r="K138" s="359"/>
      <c r="L138" s="360">
        <f t="shared" si="13"/>
        <v>0</v>
      </c>
      <c r="M138" s="359"/>
      <c r="N138" s="360">
        <f t="shared" si="14"/>
        <v>0</v>
      </c>
      <c r="O138" s="359"/>
      <c r="P138" s="360">
        <f t="shared" si="15"/>
        <v>0</v>
      </c>
      <c r="Q138" s="359">
        <f t="shared" si="16"/>
        <v>0</v>
      </c>
      <c r="R138" s="360">
        <f t="shared" si="17"/>
        <v>0</v>
      </c>
      <c r="S138" s="361">
        <f t="shared" si="18"/>
        <v>7</v>
      </c>
      <c r="T138" s="362">
        <f t="shared" si="19"/>
        <v>1507.59</v>
      </c>
    </row>
    <row r="139" spans="1:20" ht="26">
      <c r="A139" s="387" t="s">
        <v>699</v>
      </c>
      <c r="B139" s="388" t="s">
        <v>700</v>
      </c>
      <c r="C139" s="356" t="s">
        <v>34</v>
      </c>
      <c r="D139" s="352">
        <f>'MEM.CÁLCULO (3)'!C1182</f>
        <v>11</v>
      </c>
      <c r="E139" s="352">
        <v>128.93</v>
      </c>
      <c r="F139" s="358">
        <f t="shared" si="22"/>
        <v>1418.23</v>
      </c>
      <c r="G139" s="359"/>
      <c r="H139" s="360">
        <f t="shared" si="11"/>
        <v>0</v>
      </c>
      <c r="I139" s="359"/>
      <c r="J139" s="360">
        <f t="shared" si="12"/>
        <v>0</v>
      </c>
      <c r="K139" s="359"/>
      <c r="L139" s="360">
        <f t="shared" si="13"/>
        <v>0</v>
      </c>
      <c r="M139" s="359"/>
      <c r="N139" s="360">
        <f t="shared" si="14"/>
        <v>0</v>
      </c>
      <c r="O139" s="359"/>
      <c r="P139" s="360">
        <f t="shared" si="15"/>
        <v>0</v>
      </c>
      <c r="Q139" s="359">
        <f t="shared" si="16"/>
        <v>0</v>
      </c>
      <c r="R139" s="360">
        <f t="shared" si="17"/>
        <v>0</v>
      </c>
      <c r="S139" s="361">
        <f t="shared" si="18"/>
        <v>11</v>
      </c>
      <c r="T139" s="362">
        <f t="shared" si="19"/>
        <v>1418.23</v>
      </c>
    </row>
    <row r="140" spans="1:20" ht="13">
      <c r="A140" s="387" t="s">
        <v>701</v>
      </c>
      <c r="B140" s="388" t="s">
        <v>702</v>
      </c>
      <c r="C140" s="356" t="s">
        <v>34</v>
      </c>
      <c r="D140" s="352">
        <f>'MEM.CÁLCULO (3)'!C1189</f>
        <v>2</v>
      </c>
      <c r="E140" s="352">
        <v>1108.8800000000001</v>
      </c>
      <c r="F140" s="358">
        <f t="shared" si="22"/>
        <v>2217.7600000000002</v>
      </c>
      <c r="G140" s="359"/>
      <c r="H140" s="360">
        <f t="shared" si="11"/>
        <v>0</v>
      </c>
      <c r="I140" s="359"/>
      <c r="J140" s="360">
        <f t="shared" si="12"/>
        <v>0</v>
      </c>
      <c r="K140" s="359"/>
      <c r="L140" s="360">
        <f t="shared" si="13"/>
        <v>0</v>
      </c>
      <c r="M140" s="359"/>
      <c r="N140" s="360">
        <f t="shared" si="14"/>
        <v>0</v>
      </c>
      <c r="O140" s="359"/>
      <c r="P140" s="360">
        <f t="shared" si="15"/>
        <v>0</v>
      </c>
      <c r="Q140" s="359">
        <f t="shared" si="16"/>
        <v>0</v>
      </c>
      <c r="R140" s="360">
        <f t="shared" si="17"/>
        <v>0</v>
      </c>
      <c r="S140" s="361">
        <f t="shared" si="18"/>
        <v>2</v>
      </c>
      <c r="T140" s="362">
        <f t="shared" si="19"/>
        <v>2217.7600000000002</v>
      </c>
    </row>
    <row r="141" spans="1:20" ht="13">
      <c r="A141" s="387" t="s">
        <v>703</v>
      </c>
      <c r="B141" s="388" t="s">
        <v>704</v>
      </c>
      <c r="C141" s="356" t="s">
        <v>34</v>
      </c>
      <c r="D141" s="352">
        <f>'MEM.CÁLCULO (3)'!C1195</f>
        <v>1</v>
      </c>
      <c r="E141" s="352">
        <v>2639.59</v>
      </c>
      <c r="F141" s="358">
        <f t="shared" si="22"/>
        <v>2639.59</v>
      </c>
      <c r="G141" s="359"/>
      <c r="H141" s="360">
        <f t="shared" si="11"/>
        <v>0</v>
      </c>
      <c r="I141" s="359"/>
      <c r="J141" s="360">
        <f t="shared" si="12"/>
        <v>0</v>
      </c>
      <c r="K141" s="359"/>
      <c r="L141" s="360">
        <f t="shared" si="13"/>
        <v>0</v>
      </c>
      <c r="M141" s="359"/>
      <c r="N141" s="360">
        <f t="shared" si="14"/>
        <v>0</v>
      </c>
      <c r="O141" s="359"/>
      <c r="P141" s="360">
        <f t="shared" si="15"/>
        <v>0</v>
      </c>
      <c r="Q141" s="359">
        <f t="shared" si="16"/>
        <v>0</v>
      </c>
      <c r="R141" s="360">
        <f t="shared" si="17"/>
        <v>0</v>
      </c>
      <c r="S141" s="361">
        <f t="shared" si="18"/>
        <v>1</v>
      </c>
      <c r="T141" s="362">
        <f t="shared" si="19"/>
        <v>2639.59</v>
      </c>
    </row>
    <row r="142" spans="1:20" ht="13">
      <c r="A142" s="389"/>
      <c r="B142" s="388"/>
      <c r="C142" s="356"/>
      <c r="D142" s="352"/>
      <c r="E142" s="352"/>
      <c r="F142" s="358"/>
      <c r="G142" s="359"/>
      <c r="H142" s="360"/>
      <c r="I142" s="359"/>
      <c r="J142" s="360"/>
      <c r="K142" s="359"/>
      <c r="L142" s="360"/>
      <c r="M142" s="359"/>
      <c r="N142" s="360"/>
      <c r="O142" s="359"/>
      <c r="P142" s="360"/>
      <c r="Q142" s="359"/>
      <c r="R142" s="360"/>
      <c r="S142" s="361"/>
      <c r="T142" s="362"/>
    </row>
    <row r="143" spans="1:20" ht="13">
      <c r="A143" s="350" t="s">
        <v>705</v>
      </c>
      <c r="B143" s="351" t="s">
        <v>706</v>
      </c>
      <c r="C143" s="356"/>
      <c r="D143" s="352"/>
      <c r="E143" s="353"/>
      <c r="F143" s="353">
        <f>SUM(F144:F146)</f>
        <v>7500.04</v>
      </c>
      <c r="G143" s="359"/>
      <c r="H143" s="360"/>
      <c r="I143" s="359"/>
      <c r="J143" s="360"/>
      <c r="K143" s="359"/>
      <c r="L143" s="360"/>
      <c r="M143" s="359"/>
      <c r="N143" s="360"/>
      <c r="O143" s="359"/>
      <c r="P143" s="360"/>
      <c r="Q143" s="359"/>
      <c r="R143" s="360"/>
      <c r="S143" s="361"/>
      <c r="T143" s="362"/>
    </row>
    <row r="144" spans="1:20" ht="65">
      <c r="A144" s="355" t="s">
        <v>707</v>
      </c>
      <c r="B144" s="88" t="s">
        <v>708</v>
      </c>
      <c r="C144" s="356" t="s">
        <v>29</v>
      </c>
      <c r="D144" s="352">
        <f>'MEM.CÁLCULO (3)'!C1202</f>
        <v>55.20</v>
      </c>
      <c r="E144" s="390">
        <v>64.150000000000006</v>
      </c>
      <c r="F144" s="358">
        <f>E144*D144</f>
        <v>3541.08</v>
      </c>
      <c r="G144" s="359"/>
      <c r="H144" s="360">
        <f t="shared" si="23" ref="H144:H161">G144*E144</f>
        <v>0</v>
      </c>
      <c r="I144" s="359"/>
      <c r="J144" s="360">
        <f t="shared" si="24" ref="J144:J161">I144*$E144</f>
        <v>0</v>
      </c>
      <c r="K144" s="359"/>
      <c r="L144" s="360">
        <f t="shared" si="25" ref="L144:L161">K144*$E144</f>
        <v>0</v>
      </c>
      <c r="M144" s="359"/>
      <c r="N144" s="360">
        <f t="shared" si="26" ref="N144:N161">M144*$E144</f>
        <v>0</v>
      </c>
      <c r="O144" s="359"/>
      <c r="P144" s="360">
        <f t="shared" si="27" ref="P144:P161">O144*$E144</f>
        <v>0</v>
      </c>
      <c r="Q144" s="359">
        <f t="shared" si="28" ref="Q144:Q161">G144+I144+K144+M144+O144</f>
        <v>0</v>
      </c>
      <c r="R144" s="360">
        <f t="shared" si="29" ref="R144:R161">H144+J144+L144+N144+P144</f>
        <v>0</v>
      </c>
      <c r="S144" s="361">
        <f t="shared" si="30" ref="S144:S161">D144-Q144</f>
        <v>55.20</v>
      </c>
      <c r="T144" s="362">
        <f t="shared" si="31" ref="T144:T161">F144-R144</f>
        <v>3541.08</v>
      </c>
    </row>
    <row r="145" spans="1:20" ht="13">
      <c r="A145" s="355" t="s">
        <v>709</v>
      </c>
      <c r="B145" s="88" t="s">
        <v>710</v>
      </c>
      <c r="C145" s="356" t="s">
        <v>34</v>
      </c>
      <c r="D145" s="352">
        <f>'MEM.CÁLCULO (3)'!C1207</f>
        <v>112</v>
      </c>
      <c r="E145" s="352">
        <v>27.88</v>
      </c>
      <c r="F145" s="358">
        <f>E145*D145</f>
        <v>3122.56</v>
      </c>
      <c r="G145" s="359"/>
      <c r="H145" s="360">
        <f t="shared" si="23"/>
        <v>0</v>
      </c>
      <c r="I145" s="359"/>
      <c r="J145" s="360">
        <f t="shared" si="24"/>
        <v>0</v>
      </c>
      <c r="K145" s="359"/>
      <c r="L145" s="360">
        <f t="shared" si="25"/>
        <v>0</v>
      </c>
      <c r="M145" s="359"/>
      <c r="N145" s="360">
        <f t="shared" si="26"/>
        <v>0</v>
      </c>
      <c r="O145" s="359"/>
      <c r="P145" s="360">
        <f t="shared" si="27"/>
        <v>0</v>
      </c>
      <c r="Q145" s="359">
        <f t="shared" si="28"/>
        <v>0</v>
      </c>
      <c r="R145" s="360">
        <f t="shared" si="29"/>
        <v>0</v>
      </c>
      <c r="S145" s="361">
        <f t="shared" si="30"/>
        <v>112</v>
      </c>
      <c r="T145" s="362">
        <f t="shared" si="31"/>
        <v>3122.56</v>
      </c>
    </row>
    <row r="146" spans="1:20" ht="13">
      <c r="A146" s="355" t="s">
        <v>711</v>
      </c>
      <c r="B146" s="88" t="s">
        <v>712</v>
      </c>
      <c r="C146" s="356" t="s">
        <v>34</v>
      </c>
      <c r="D146" s="352">
        <f>'MEM.CÁLCULO (3)'!C1212</f>
        <v>30</v>
      </c>
      <c r="E146" s="352">
        <v>27.88</v>
      </c>
      <c r="F146" s="358">
        <f>E146*D146</f>
        <v>836.40</v>
      </c>
      <c r="G146" s="359"/>
      <c r="H146" s="360">
        <f t="shared" si="23"/>
        <v>0</v>
      </c>
      <c r="I146" s="359"/>
      <c r="J146" s="360">
        <f t="shared" si="24"/>
        <v>0</v>
      </c>
      <c r="K146" s="359"/>
      <c r="L146" s="360">
        <f t="shared" si="25"/>
        <v>0</v>
      </c>
      <c r="M146" s="359"/>
      <c r="N146" s="360">
        <f t="shared" si="26"/>
        <v>0</v>
      </c>
      <c r="O146" s="359"/>
      <c r="P146" s="360">
        <f t="shared" si="27"/>
        <v>0</v>
      </c>
      <c r="Q146" s="359">
        <f t="shared" si="28"/>
        <v>0</v>
      </c>
      <c r="R146" s="360">
        <f t="shared" si="29"/>
        <v>0</v>
      </c>
      <c r="S146" s="361">
        <f t="shared" si="30"/>
        <v>30</v>
      </c>
      <c r="T146" s="362">
        <f t="shared" si="31"/>
        <v>836.40</v>
      </c>
    </row>
    <row r="147" spans="1:20" ht="13">
      <c r="A147" s="389"/>
      <c r="B147" s="388"/>
      <c r="C147" s="356"/>
      <c r="D147" s="352"/>
      <c r="E147" s="352"/>
      <c r="F147" s="358"/>
      <c r="G147" s="359"/>
      <c r="H147" s="360"/>
      <c r="I147" s="359"/>
      <c r="J147" s="360"/>
      <c r="K147" s="359"/>
      <c r="L147" s="360"/>
      <c r="M147" s="359"/>
      <c r="N147" s="360"/>
      <c r="O147" s="359"/>
      <c r="P147" s="360"/>
      <c r="Q147" s="359"/>
      <c r="R147" s="360"/>
      <c r="S147" s="361"/>
      <c r="T147" s="362"/>
    </row>
    <row r="148" spans="1:20" ht="13">
      <c r="A148" s="350" t="s">
        <v>713</v>
      </c>
      <c r="B148" s="351" t="s">
        <v>714</v>
      </c>
      <c r="C148" s="356"/>
      <c r="D148" s="352"/>
      <c r="E148" s="352"/>
      <c r="F148" s="353">
        <f>SUM(F149:F150)</f>
        <v>1431.61</v>
      </c>
      <c r="G148" s="359"/>
      <c r="H148" s="360"/>
      <c r="I148" s="359"/>
      <c r="J148" s="360"/>
      <c r="K148" s="359"/>
      <c r="L148" s="360"/>
      <c r="M148" s="359"/>
      <c r="N148" s="360"/>
      <c r="O148" s="359"/>
      <c r="P148" s="360"/>
      <c r="Q148" s="359"/>
      <c r="R148" s="360"/>
      <c r="S148" s="361"/>
      <c r="T148" s="362"/>
    </row>
    <row r="149" spans="1:20" ht="13">
      <c r="A149" s="355" t="s">
        <v>715</v>
      </c>
      <c r="B149" s="88" t="s">
        <v>716</v>
      </c>
      <c r="C149" s="356" t="s">
        <v>34</v>
      </c>
      <c r="D149" s="352">
        <f>'MEM.CÁLCULO (3)'!C1220</f>
        <v>2</v>
      </c>
      <c r="E149" s="352">
        <v>307.14999999999998</v>
      </c>
      <c r="F149" s="358">
        <f>E149*D149</f>
        <v>614.29999999999995</v>
      </c>
      <c r="G149" s="359"/>
      <c r="H149" s="360">
        <f t="shared" si="23"/>
        <v>0</v>
      </c>
      <c r="I149" s="359"/>
      <c r="J149" s="360">
        <f t="shared" si="24"/>
        <v>0</v>
      </c>
      <c r="K149" s="359"/>
      <c r="L149" s="360">
        <f t="shared" si="25"/>
        <v>0</v>
      </c>
      <c r="M149" s="359"/>
      <c r="N149" s="360">
        <f t="shared" si="26"/>
        <v>0</v>
      </c>
      <c r="O149" s="359"/>
      <c r="P149" s="360">
        <f t="shared" si="27"/>
        <v>0</v>
      </c>
      <c r="Q149" s="359">
        <f t="shared" si="28"/>
        <v>0</v>
      </c>
      <c r="R149" s="360">
        <f t="shared" si="29"/>
        <v>0</v>
      </c>
      <c r="S149" s="361">
        <f t="shared" si="30"/>
        <v>2</v>
      </c>
      <c r="T149" s="362">
        <f t="shared" si="31"/>
        <v>614.29999999999995</v>
      </c>
    </row>
    <row r="150" spans="1:20" ht="13">
      <c r="A150" s="355" t="s">
        <v>717</v>
      </c>
      <c r="B150" s="88" t="s">
        <v>718</v>
      </c>
      <c r="C150" s="356" t="s">
        <v>34</v>
      </c>
      <c r="D150" s="352">
        <f>'MEM.CÁLCULO (3)'!C1230</f>
        <v>13</v>
      </c>
      <c r="E150" s="352">
        <v>62.87</v>
      </c>
      <c r="F150" s="358">
        <f>E150*D150</f>
        <v>817.31</v>
      </c>
      <c r="G150" s="359"/>
      <c r="H150" s="360">
        <f t="shared" si="23"/>
        <v>0</v>
      </c>
      <c r="I150" s="359"/>
      <c r="J150" s="360">
        <f t="shared" si="24"/>
        <v>0</v>
      </c>
      <c r="K150" s="359"/>
      <c r="L150" s="360">
        <f t="shared" si="25"/>
        <v>0</v>
      </c>
      <c r="M150" s="359"/>
      <c r="N150" s="360">
        <f t="shared" si="26"/>
        <v>0</v>
      </c>
      <c r="O150" s="359"/>
      <c r="P150" s="360">
        <f t="shared" si="27"/>
        <v>0</v>
      </c>
      <c r="Q150" s="359">
        <f t="shared" si="28"/>
        <v>0</v>
      </c>
      <c r="R150" s="360">
        <f t="shared" si="29"/>
        <v>0</v>
      </c>
      <c r="S150" s="361">
        <f t="shared" si="30"/>
        <v>13</v>
      </c>
      <c r="T150" s="362">
        <f t="shared" si="31"/>
        <v>817.31</v>
      </c>
    </row>
    <row r="151" spans="1:20" ht="13">
      <c r="A151" s="387"/>
      <c r="B151" s="88"/>
      <c r="C151" s="356"/>
      <c r="D151" s="352"/>
      <c r="E151" s="352"/>
      <c r="F151" s="358"/>
      <c r="G151" s="359"/>
      <c r="H151" s="360"/>
      <c r="I151" s="359"/>
      <c r="J151" s="360"/>
      <c r="K151" s="359"/>
      <c r="L151" s="360"/>
      <c r="M151" s="359"/>
      <c r="N151" s="360"/>
      <c r="O151" s="359"/>
      <c r="P151" s="360"/>
      <c r="Q151" s="359"/>
      <c r="R151" s="360"/>
      <c r="S151" s="361"/>
      <c r="T151" s="362"/>
    </row>
    <row r="152" spans="1:20" ht="13">
      <c r="A152" s="350" t="s">
        <v>719</v>
      </c>
      <c r="B152" s="371" t="s">
        <v>720</v>
      </c>
      <c r="C152" s="356"/>
      <c r="D152" s="352"/>
      <c r="E152" s="352"/>
      <c r="F152" s="353">
        <f>SUM(F153:F157)</f>
        <v>59882.01</v>
      </c>
      <c r="G152" s="359"/>
      <c r="H152" s="360"/>
      <c r="I152" s="359"/>
      <c r="J152" s="360"/>
      <c r="K152" s="359"/>
      <c r="L152" s="360"/>
      <c r="M152" s="359"/>
      <c r="N152" s="360"/>
      <c r="O152" s="359"/>
      <c r="P152" s="360"/>
      <c r="Q152" s="359"/>
      <c r="R152" s="360"/>
      <c r="S152" s="361"/>
      <c r="T152" s="362"/>
    </row>
    <row r="153" spans="1:20" ht="26">
      <c r="A153" s="355" t="s">
        <v>721</v>
      </c>
      <c r="B153" s="377" t="s">
        <v>722</v>
      </c>
      <c r="C153" s="356" t="s">
        <v>24</v>
      </c>
      <c r="D153" s="352">
        <f>'MEM.CÁLCULO (3)'!F1278</f>
        <v>1569.45</v>
      </c>
      <c r="E153" s="352">
        <v>3</v>
      </c>
      <c r="F153" s="358">
        <f>E153*D153</f>
        <v>4708.3500000000004</v>
      </c>
      <c r="G153" s="359"/>
      <c r="H153" s="360">
        <f t="shared" si="23"/>
        <v>0</v>
      </c>
      <c r="I153" s="359"/>
      <c r="J153" s="360">
        <f t="shared" si="24"/>
        <v>0</v>
      </c>
      <c r="K153" s="359"/>
      <c r="L153" s="360">
        <f t="shared" si="25"/>
        <v>0</v>
      </c>
      <c r="M153" s="359"/>
      <c r="N153" s="360">
        <f t="shared" si="26"/>
        <v>0</v>
      </c>
      <c r="O153" s="359"/>
      <c r="P153" s="360">
        <f t="shared" si="27"/>
        <v>0</v>
      </c>
      <c r="Q153" s="359">
        <f t="shared" si="28"/>
        <v>0</v>
      </c>
      <c r="R153" s="360">
        <f t="shared" si="29"/>
        <v>0</v>
      </c>
      <c r="S153" s="361">
        <f t="shared" si="30"/>
        <v>1569.45</v>
      </c>
      <c r="T153" s="362">
        <f t="shared" si="31"/>
        <v>4708.3500000000004</v>
      </c>
    </row>
    <row r="154" spans="1:20" ht="26">
      <c r="A154" s="355" t="s">
        <v>723</v>
      </c>
      <c r="B154" s="377" t="s">
        <v>724</v>
      </c>
      <c r="C154" s="356" t="s">
        <v>24</v>
      </c>
      <c r="D154" s="352">
        <f>'MEM.CÁLCULO (3)'!F1322</f>
        <v>1329.37</v>
      </c>
      <c r="E154" s="352">
        <v>13.11</v>
      </c>
      <c r="F154" s="358">
        <f>E154*D154</f>
        <v>17428.04</v>
      </c>
      <c r="G154" s="359"/>
      <c r="H154" s="360">
        <f t="shared" si="23"/>
        <v>0</v>
      </c>
      <c r="I154" s="359"/>
      <c r="J154" s="360">
        <f t="shared" si="24"/>
        <v>0</v>
      </c>
      <c r="K154" s="359"/>
      <c r="L154" s="360">
        <f t="shared" si="25"/>
        <v>0</v>
      </c>
      <c r="M154" s="359"/>
      <c r="N154" s="360">
        <f t="shared" si="26"/>
        <v>0</v>
      </c>
      <c r="O154" s="359"/>
      <c r="P154" s="360">
        <f t="shared" si="27"/>
        <v>0</v>
      </c>
      <c r="Q154" s="359">
        <f t="shared" si="28"/>
        <v>0</v>
      </c>
      <c r="R154" s="360">
        <f t="shared" si="29"/>
        <v>0</v>
      </c>
      <c r="S154" s="361">
        <f t="shared" si="30"/>
        <v>1329.37</v>
      </c>
      <c r="T154" s="362">
        <f t="shared" si="31"/>
        <v>17428.04</v>
      </c>
    </row>
    <row r="155" spans="1:20" ht="26">
      <c r="A155" s="355" t="s">
        <v>725</v>
      </c>
      <c r="B155" s="377" t="s">
        <v>63</v>
      </c>
      <c r="C155" s="356" t="s">
        <v>24</v>
      </c>
      <c r="D155" s="352">
        <f>'MEM.CÁLCULO (3)'!F1368</f>
        <v>1569.45</v>
      </c>
      <c r="E155" s="352">
        <v>21.97</v>
      </c>
      <c r="F155" s="358">
        <f>E155*D155-0.01</f>
        <v>34480.81</v>
      </c>
      <c r="G155" s="359"/>
      <c r="H155" s="360">
        <f t="shared" si="23"/>
        <v>0</v>
      </c>
      <c r="I155" s="359"/>
      <c r="J155" s="360">
        <f t="shared" si="24"/>
        <v>0</v>
      </c>
      <c r="K155" s="359"/>
      <c r="L155" s="360">
        <f t="shared" si="25"/>
        <v>0</v>
      </c>
      <c r="M155" s="359"/>
      <c r="N155" s="360">
        <f t="shared" si="26"/>
        <v>0</v>
      </c>
      <c r="O155" s="359"/>
      <c r="P155" s="360">
        <f t="shared" si="27"/>
        <v>0</v>
      </c>
      <c r="Q155" s="359">
        <f t="shared" si="28"/>
        <v>0</v>
      </c>
      <c r="R155" s="360">
        <f t="shared" si="29"/>
        <v>0</v>
      </c>
      <c r="S155" s="361">
        <f t="shared" si="30"/>
        <v>1569.45</v>
      </c>
      <c r="T155" s="362">
        <f t="shared" si="31"/>
        <v>34480.81</v>
      </c>
    </row>
    <row r="156" spans="1:20" ht="26">
      <c r="A156" s="355" t="s">
        <v>726</v>
      </c>
      <c r="B156" s="377" t="s">
        <v>727</v>
      </c>
      <c r="C156" s="356" t="s">
        <v>24</v>
      </c>
      <c r="D156" s="352">
        <f>'MEM.CÁLCULO (3)'!G1374</f>
        <v>81.48</v>
      </c>
      <c r="E156" s="352">
        <v>19.02</v>
      </c>
      <c r="F156" s="358">
        <f>E156*D156-0.01</f>
        <v>1549.74</v>
      </c>
      <c r="G156" s="359"/>
      <c r="H156" s="360">
        <f t="shared" si="23"/>
        <v>0</v>
      </c>
      <c r="I156" s="359"/>
      <c r="J156" s="360">
        <f t="shared" si="24"/>
        <v>0</v>
      </c>
      <c r="K156" s="359"/>
      <c r="L156" s="360">
        <f t="shared" si="25"/>
        <v>0</v>
      </c>
      <c r="M156" s="359"/>
      <c r="N156" s="360">
        <f t="shared" si="26"/>
        <v>0</v>
      </c>
      <c r="O156" s="359"/>
      <c r="P156" s="360">
        <f t="shared" si="27"/>
        <v>0</v>
      </c>
      <c r="Q156" s="359">
        <f t="shared" si="28"/>
        <v>0</v>
      </c>
      <c r="R156" s="360">
        <f t="shared" si="29"/>
        <v>0</v>
      </c>
      <c r="S156" s="361">
        <f t="shared" si="30"/>
        <v>81.48</v>
      </c>
      <c r="T156" s="362">
        <f t="shared" si="31"/>
        <v>1549.74</v>
      </c>
    </row>
    <row r="157" spans="1:20" ht="52">
      <c r="A157" s="355" t="s">
        <v>728</v>
      </c>
      <c r="B157" s="377" t="s">
        <v>729</v>
      </c>
      <c r="C157" s="356" t="s">
        <v>24</v>
      </c>
      <c r="D157" s="352">
        <f>'MEM.CÁLCULO (3)'!G1383</f>
        <v>29.56</v>
      </c>
      <c r="E157" s="352">
        <v>58.02</v>
      </c>
      <c r="F157" s="358">
        <f>E157*D157</f>
        <v>1715.07</v>
      </c>
      <c r="G157" s="359"/>
      <c r="H157" s="360">
        <f t="shared" si="23"/>
        <v>0</v>
      </c>
      <c r="I157" s="359"/>
      <c r="J157" s="360">
        <f t="shared" si="24"/>
        <v>0</v>
      </c>
      <c r="K157" s="359"/>
      <c r="L157" s="360">
        <f t="shared" si="25"/>
        <v>0</v>
      </c>
      <c r="M157" s="359"/>
      <c r="N157" s="360">
        <f t="shared" si="26"/>
        <v>0</v>
      </c>
      <c r="O157" s="359"/>
      <c r="P157" s="360">
        <f t="shared" si="27"/>
        <v>0</v>
      </c>
      <c r="Q157" s="359">
        <f t="shared" si="28"/>
        <v>0</v>
      </c>
      <c r="R157" s="360">
        <f t="shared" si="29"/>
        <v>0</v>
      </c>
      <c r="S157" s="361">
        <f t="shared" si="30"/>
        <v>29.56</v>
      </c>
      <c r="T157" s="362">
        <f t="shared" si="31"/>
        <v>1715.07</v>
      </c>
    </row>
    <row r="158" spans="1:20" ht="13">
      <c r="A158" s="355"/>
      <c r="B158" s="88"/>
      <c r="C158" s="356"/>
      <c r="D158" s="352"/>
      <c r="E158" s="352"/>
      <c r="F158" s="358"/>
      <c r="G158" s="359"/>
      <c r="H158" s="360"/>
      <c r="I158" s="359"/>
      <c r="J158" s="360"/>
      <c r="K158" s="359"/>
      <c r="L158" s="360"/>
      <c r="M158" s="359"/>
      <c r="N158" s="360"/>
      <c r="O158" s="359"/>
      <c r="P158" s="360"/>
      <c r="Q158" s="359"/>
      <c r="R158" s="360"/>
      <c r="S158" s="361"/>
      <c r="T158" s="362"/>
    </row>
    <row r="159" spans="1:20" ht="13">
      <c r="A159" s="350" t="s">
        <v>730</v>
      </c>
      <c r="B159" s="351" t="s">
        <v>731</v>
      </c>
      <c r="C159" s="351"/>
      <c r="D159" s="352"/>
      <c r="E159" s="352"/>
      <c r="F159" s="353">
        <f>SUM(F160:F161)</f>
        <v>5457.61</v>
      </c>
      <c r="G159" s="359"/>
      <c r="H159" s="360"/>
      <c r="I159" s="359"/>
      <c r="J159" s="360"/>
      <c r="K159" s="359"/>
      <c r="L159" s="360"/>
      <c r="M159" s="359"/>
      <c r="N159" s="360"/>
      <c r="O159" s="359"/>
      <c r="P159" s="360"/>
      <c r="Q159" s="359"/>
      <c r="R159" s="360"/>
      <c r="S159" s="361"/>
      <c r="T159" s="362"/>
    </row>
    <row r="160" spans="1:20" ht="13">
      <c r="A160" s="355" t="s">
        <v>732</v>
      </c>
      <c r="B160" s="377" t="s">
        <v>733</v>
      </c>
      <c r="C160" s="356" t="s">
        <v>24</v>
      </c>
      <c r="D160" s="352">
        <f>'MEM.CÁLCULO (3)'!C1388</f>
        <v>645</v>
      </c>
      <c r="E160" s="352">
        <v>5.93</v>
      </c>
      <c r="F160" s="358">
        <f>E160*D160</f>
        <v>3824.85</v>
      </c>
      <c r="G160" s="359"/>
      <c r="H160" s="360">
        <f t="shared" si="23"/>
        <v>0</v>
      </c>
      <c r="I160" s="359"/>
      <c r="J160" s="360">
        <f t="shared" si="24"/>
        <v>0</v>
      </c>
      <c r="K160" s="359"/>
      <c r="L160" s="360">
        <f t="shared" si="25"/>
        <v>0</v>
      </c>
      <c r="M160" s="359"/>
      <c r="N160" s="360">
        <f t="shared" si="26"/>
        <v>0</v>
      </c>
      <c r="O160" s="359"/>
      <c r="P160" s="360">
        <f t="shared" si="27"/>
        <v>0</v>
      </c>
      <c r="Q160" s="359">
        <f t="shared" si="28"/>
        <v>0</v>
      </c>
      <c r="R160" s="360">
        <f t="shared" si="29"/>
        <v>0</v>
      </c>
      <c r="S160" s="361">
        <f t="shared" si="30"/>
        <v>645</v>
      </c>
      <c r="T160" s="362">
        <f t="shared" si="31"/>
        <v>3824.85</v>
      </c>
    </row>
    <row r="161" spans="1:20" ht="13">
      <c r="A161" s="355" t="s">
        <v>734</v>
      </c>
      <c r="B161" s="377" t="s">
        <v>735</v>
      </c>
      <c r="C161" s="356" t="s">
        <v>34</v>
      </c>
      <c r="D161" s="352">
        <f>'MEM.CÁLCULO (3)'!C1393</f>
        <v>1</v>
      </c>
      <c r="E161" s="352">
        <v>1632.76</v>
      </c>
      <c r="F161" s="358">
        <f>E161*D161</f>
        <v>1632.76</v>
      </c>
      <c r="G161" s="359"/>
      <c r="H161" s="360">
        <f t="shared" si="23"/>
        <v>0</v>
      </c>
      <c r="I161" s="359"/>
      <c r="J161" s="360">
        <f t="shared" si="24"/>
        <v>0</v>
      </c>
      <c r="K161" s="359"/>
      <c r="L161" s="360">
        <f t="shared" si="25"/>
        <v>0</v>
      </c>
      <c r="M161" s="359"/>
      <c r="N161" s="360">
        <f t="shared" si="26"/>
        <v>0</v>
      </c>
      <c r="O161" s="359"/>
      <c r="P161" s="360">
        <f t="shared" si="27"/>
        <v>0</v>
      </c>
      <c r="Q161" s="359">
        <f t="shared" si="28"/>
        <v>0</v>
      </c>
      <c r="R161" s="360">
        <f t="shared" si="29"/>
        <v>0</v>
      </c>
      <c r="S161" s="361">
        <f t="shared" si="30"/>
        <v>1</v>
      </c>
      <c r="T161" s="362">
        <f t="shared" si="31"/>
        <v>1632.76</v>
      </c>
    </row>
    <row r="162" spans="1:20" ht="13.5" thickBot="1">
      <c r="A162" s="391"/>
      <c r="B162" s="392"/>
      <c r="C162" s="391"/>
      <c r="D162" s="393"/>
      <c r="E162" s="394"/>
      <c r="F162" s="395"/>
      <c r="G162" s="392"/>
      <c r="H162" s="396"/>
      <c r="I162" s="392"/>
      <c r="J162" s="392"/>
      <c r="K162" s="392"/>
      <c r="L162" s="392"/>
      <c r="M162" s="392"/>
      <c r="N162" s="392"/>
      <c r="O162" s="392"/>
      <c r="P162" s="392"/>
      <c r="Q162" s="392"/>
      <c r="R162" s="392"/>
      <c r="S162" s="392"/>
      <c r="T162" s="392"/>
    </row>
    <row r="163" spans="1:20" ht="16" thickBot="1">
      <c r="A163" s="397"/>
      <c r="B163" s="397"/>
      <c r="C163" s="397"/>
      <c r="D163" s="398" t="s">
        <v>304</v>
      </c>
      <c r="E163" s="399"/>
      <c r="F163" s="400">
        <f>SUM(F13+F20+F24+F27+F33+F37+F41+F44+F51+F64+F74+F82+F105+F129+F143+F148+F152+F159)</f>
        <v>884065.29</v>
      </c>
      <c r="G163" s="401"/>
      <c r="H163" s="402">
        <f>SUM(H14:H161)</f>
        <v>120175.38</v>
      </c>
      <c r="I163" s="401"/>
      <c r="J163" s="403">
        <f>SUM(J14:J161)</f>
        <v>96025.99</v>
      </c>
      <c r="K163" s="401"/>
      <c r="L163" s="403">
        <f>SUM(L14:L161)</f>
        <v>183798.63</v>
      </c>
      <c r="M163" s="401"/>
      <c r="N163" s="403">
        <f>SUM(N14:N161)</f>
        <v>0</v>
      </c>
      <c r="O163" s="401"/>
      <c r="P163" s="403">
        <f>SUM(P14:P161)</f>
        <v>0</v>
      </c>
      <c r="Q163" s="401"/>
      <c r="R163" s="403">
        <f>SUM(R14:R161)</f>
        <v>400000</v>
      </c>
      <c r="S163" s="401"/>
      <c r="T163" s="403">
        <f>SUM(T14:T161)</f>
        <v>484065.29</v>
      </c>
    </row>
    <row r="164" spans="1:8" ht="13">
      <c r="A164" s="404"/>
      <c r="C164" s="405"/>
      <c r="D164" s="406"/>
      <c r="E164" s="407"/>
      <c r="F164" s="406"/>
      <c r="H164" s="408"/>
    </row>
    <row r="165" spans="1:20" ht="15.5">
      <c r="A165" s="326" t="s">
        <v>736</v>
      </c>
      <c r="B165" s="326"/>
      <c r="C165" s="326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</row>
    <row r="166" spans="1:20" ht="13">
      <c r="A166" s="409"/>
      <c r="B166" s="368"/>
      <c r="C166" s="368"/>
      <c r="D166" s="410"/>
      <c r="E166" s="411"/>
      <c r="F166" s="411"/>
      <c r="G166" s="368"/>
      <c r="H166" s="412"/>
      <c r="I166" s="368"/>
      <c r="J166" s="368"/>
      <c r="K166" s="368"/>
      <c r="L166" s="412"/>
      <c r="M166" s="368"/>
      <c r="N166" s="368"/>
      <c r="O166" s="368"/>
      <c r="P166" s="368"/>
      <c r="Q166" s="368"/>
      <c r="R166" s="368"/>
      <c r="S166" s="368"/>
      <c r="T166" s="368"/>
    </row>
    <row r="167" spans="1:20" ht="13">
      <c r="A167" s="409"/>
      <c r="B167" s="368"/>
      <c r="C167" s="368"/>
      <c r="D167" s="410"/>
      <c r="E167" s="411"/>
      <c r="F167" s="411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368"/>
      <c r="R167" s="368"/>
      <c r="S167" s="368"/>
      <c r="T167" s="368"/>
    </row>
    <row r="168" spans="1:20" ht="13">
      <c r="A168" s="409"/>
      <c r="B168" s="368"/>
      <c r="C168" s="368"/>
      <c r="D168" s="410"/>
      <c r="E168" s="411"/>
      <c r="F168" s="411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368"/>
      <c r="R168" s="368"/>
      <c r="S168" s="368"/>
      <c r="T168" s="368"/>
    </row>
    <row r="169" spans="1:20" ht="13">
      <c r="A169" s="409"/>
      <c r="B169" s="368"/>
      <c r="C169" s="368"/>
      <c r="D169" s="410"/>
      <c r="E169" s="411"/>
      <c r="F169" s="411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368"/>
      <c r="R169" s="368"/>
      <c r="S169" s="368"/>
      <c r="T169" s="368"/>
    </row>
    <row r="170" spans="1:20" ht="13">
      <c r="A170" s="409"/>
      <c r="B170" s="368"/>
      <c r="C170" s="368"/>
      <c r="D170" s="410"/>
      <c r="E170" s="411"/>
      <c r="F170" s="411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</row>
    <row r="171" spans="1:20" ht="14.5">
      <c r="A171" s="409"/>
      <c r="B171" s="368"/>
      <c r="C171" s="368"/>
      <c r="D171" s="410"/>
      <c r="E171" s="411"/>
      <c r="F171" s="411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413" t="s">
        <v>50</v>
      </c>
      <c r="R171" s="413"/>
      <c r="S171" s="413"/>
      <c r="T171" s="413"/>
    </row>
    <row r="172" spans="1:20" ht="14.5">
      <c r="A172" s="409"/>
      <c r="B172" s="368"/>
      <c r="C172" s="368"/>
      <c r="D172" s="410"/>
      <c r="E172" s="411"/>
      <c r="F172" s="411"/>
      <c r="G172" s="368"/>
      <c r="H172" s="368"/>
      <c r="I172" s="368"/>
      <c r="J172" s="368"/>
      <c r="K172" s="368"/>
      <c r="L172" s="368"/>
      <c r="M172" s="368"/>
      <c r="N172" s="368"/>
      <c r="O172" s="368"/>
      <c r="P172" s="368"/>
      <c r="Q172" s="413" t="s">
        <v>737</v>
      </c>
      <c r="R172" s="413"/>
      <c r="S172" s="413"/>
      <c r="T172" s="413"/>
    </row>
    <row r="173" spans="1:20" ht="14.5">
      <c r="A173" s="409"/>
      <c r="B173" s="368"/>
      <c r="C173" s="368"/>
      <c r="D173" s="410"/>
      <c r="E173" s="411"/>
      <c r="F173" s="411"/>
      <c r="G173" s="368"/>
      <c r="H173" s="368"/>
      <c r="I173" s="368"/>
      <c r="J173" s="368"/>
      <c r="K173" s="368"/>
      <c r="L173" s="368"/>
      <c r="M173" s="368"/>
      <c r="N173" s="368"/>
      <c r="O173" s="368"/>
      <c r="P173" s="368"/>
      <c r="Q173" s="413" t="s">
        <v>52</v>
      </c>
      <c r="R173" s="413"/>
      <c r="S173" s="413"/>
      <c r="T173" s="413"/>
    </row>
  </sheetData>
  <mergeCells count="14">
    <mergeCell ref="S2:T2"/>
    <mergeCell ref="S3:T6"/>
    <mergeCell ref="A9:T9"/>
    <mergeCell ref="D163:E163"/>
    <mergeCell ref="A165:T165"/>
    <mergeCell ref="Q171:T171"/>
    <mergeCell ref="Q172:T172"/>
    <mergeCell ref="Q173:T173"/>
    <mergeCell ref="A11:A12"/>
    <mergeCell ref="B11:B12"/>
    <mergeCell ref="C11:C12"/>
    <mergeCell ref="D11:D12"/>
    <mergeCell ref="E11:E12"/>
    <mergeCell ref="F11:F12"/>
  </mergeCells>
  <conditionalFormatting sqref="F164">
    <cfRule type="cellIs" priority="1" dxfId="0" operator="greaterThan" stopIfTrue="1">
      <formula>0.15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4" horizontalDpi="360" verticalDpi="360" orientation="landscape" paperSize="9" scale="65" r:id="rId2"/>
  <headerFooter alignWithMargins="0">
    <oddFooter>&amp;CPágina &amp;P de &amp;N</oddFooter>
  </headerFooter>
  <rowBreaks count="3" manualBreakCount="3">
    <brk id="81" max="19" man="1"/>
    <brk id="104" max="19" man="1"/>
    <brk id="142" max="19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8e1c235-e196-4185-973d-24754acd86ce}">
  <dimension ref="A1:L1401"/>
  <sheetViews>
    <sheetView showGridLines="0" view="pageBreakPreview" zoomScale="85" zoomScaleNormal="100" zoomScaleSheetLayoutView="85" workbookViewId="0" topLeftCell="A1381">
      <selection pane="topLeft" activeCell="F1208" sqref="F1207:F1208"/>
    </sheetView>
  </sheetViews>
  <sheetFormatPr defaultColWidth="9.184285714285714" defaultRowHeight="13" customHeight="1"/>
  <cols>
    <col min="1" max="1" width="7.428571428571429" style="418" customWidth="1"/>
    <col min="2" max="2" width="59.142857142857146" style="637" bestFit="1" customWidth="1"/>
    <col min="3" max="3" width="11.714285714285714" style="637" customWidth="1"/>
    <col min="4" max="4" width="13.428571428571429" style="637" customWidth="1"/>
    <col min="5" max="5" width="11.428571428571429" style="637" bestFit="1" customWidth="1"/>
    <col min="6" max="6" width="10.857142857142858" style="637" bestFit="1" customWidth="1"/>
    <col min="7" max="7" width="9.857142857142858" style="637" bestFit="1" customWidth="1"/>
    <col min="8" max="8" width="8.142857142857142" style="637" bestFit="1" customWidth="1"/>
    <col min="9" max="9" width="6.857142857142857" style="637" customWidth="1"/>
    <col min="10" max="10" width="7.428571428571429" style="637" bestFit="1" customWidth="1"/>
    <col min="11" max="16384" width="9.142857142857142" style="637"/>
  </cols>
  <sheetData>
    <row r="1" spans="1:7" ht="13">
      <c r="A1" s="415" t="s">
        <v>0</v>
      </c>
      <c r="B1" s="415"/>
      <c r="C1" s="416"/>
      <c r="D1" s="416"/>
      <c r="E1" s="416"/>
      <c r="F1" s="416"/>
      <c r="G1" s="416"/>
    </row>
    <row r="2" spans="1:7" ht="13">
      <c r="A2" s="415" t="str">
        <f>medição!$A$2</f>
        <v>PREFEITURA MUNICIPAL DE TERRA SANTA</v>
      </c>
      <c r="B2" s="415"/>
      <c r="C2" s="416"/>
      <c r="D2" s="416"/>
      <c r="E2" s="416"/>
      <c r="F2" s="416"/>
      <c r="G2" s="416"/>
    </row>
    <row r="3" spans="1:7" ht="13">
      <c r="A3" s="415" t="str">
        <f>medição!$A$3</f>
        <v>OBRA: CONSTRUÇÃO DA UBS - CONQUISTA</v>
      </c>
      <c r="B3" s="415"/>
      <c r="C3" s="416"/>
      <c r="D3" s="416"/>
      <c r="E3" s="416"/>
      <c r="F3" s="416"/>
      <c r="G3" s="416"/>
    </row>
    <row r="4" spans="2:5" ht="13">
      <c r="B4" s="416"/>
      <c r="E4" s="417"/>
    </row>
    <row r="5" spans="1:10" ht="13">
      <c r="A5" s="418" t="s">
        <v>738</v>
      </c>
      <c r="B5" s="418"/>
      <c r="C5" s="418"/>
      <c r="D5" s="418"/>
      <c r="E5" s="418"/>
      <c r="F5" s="418"/>
      <c r="G5" s="418"/>
      <c r="H5" s="418"/>
      <c r="I5" s="418"/>
      <c r="J5" s="418"/>
    </row>
    <row r="6" spans="1:7" ht="13">
      <c r="A6" s="419"/>
      <c r="B6" s="420"/>
      <c r="C6" s="421"/>
      <c r="D6" s="421"/>
      <c r="E6" s="421"/>
      <c r="F6" s="421"/>
      <c r="G6" s="421"/>
    </row>
    <row r="7" spans="1:10" ht="13">
      <c r="A7" s="422" t="s">
        <v>9</v>
      </c>
      <c r="B7" s="423" t="s">
        <v>10</v>
      </c>
      <c r="C7" s="423"/>
      <c r="D7" s="423"/>
      <c r="E7" s="423"/>
      <c r="F7" s="423"/>
      <c r="G7" s="423"/>
      <c r="H7" s="423"/>
      <c r="I7" s="423"/>
      <c r="J7" s="423"/>
    </row>
    <row r="8" spans="1:7" ht="13">
      <c r="A8" s="424"/>
      <c r="B8" s="425"/>
      <c r="C8" s="425"/>
      <c r="D8" s="425"/>
      <c r="E8" s="425"/>
      <c r="F8" s="425"/>
      <c r="G8" s="425"/>
    </row>
    <row r="9" spans="1:10" ht="13">
      <c r="A9" s="426" t="str">
        <f>medição!A13</f>
        <v>1.0</v>
      </c>
      <c r="B9" s="427" t="str">
        <f>medição!B13</f>
        <v>SERVIÇOS PRELIMINARES</v>
      </c>
      <c r="C9" s="425"/>
      <c r="D9" s="425"/>
      <c r="E9" s="425"/>
      <c r="F9" s="425"/>
      <c r="G9" s="425"/>
      <c r="H9" s="425"/>
      <c r="I9" s="425"/>
      <c r="J9" s="428"/>
    </row>
    <row r="10" spans="1:7" ht="13">
      <c r="A10" s="424"/>
      <c r="B10" s="425"/>
      <c r="C10" s="425"/>
      <c r="D10" s="425"/>
      <c r="E10" s="425"/>
      <c r="F10" s="429"/>
      <c r="G10" s="429"/>
    </row>
    <row r="11" spans="1:7" ht="13">
      <c r="A11" s="350" t="str">
        <f>medição!A14</f>
        <v>1.1</v>
      </c>
      <c r="B11" s="430" t="str">
        <f>medição!B14</f>
        <v>PLACA DA OBRA EM CHAPA GALVANIZADA</v>
      </c>
      <c r="C11" s="430"/>
      <c r="D11" s="430"/>
      <c r="E11" s="430"/>
      <c r="F11" s="431"/>
      <c r="G11" s="416"/>
    </row>
    <row r="12" spans="1:6" ht="13">
      <c r="A12" s="432"/>
      <c r="B12" s="345" t="s">
        <v>306</v>
      </c>
      <c r="C12" s="345" t="s">
        <v>739</v>
      </c>
      <c r="D12" s="345" t="s">
        <v>740</v>
      </c>
      <c r="E12" s="345" t="s">
        <v>309</v>
      </c>
      <c r="F12" s="433"/>
    </row>
    <row r="13" spans="1:5" ht="13">
      <c r="A13" s="432"/>
      <c r="B13" s="354" t="str">
        <f>[1]PLAN.ORÇ!D13</f>
        <v>Placa de obra em chapa galvanizada</v>
      </c>
      <c r="C13" s="434">
        <v>3</v>
      </c>
      <c r="D13" s="434">
        <v>2</v>
      </c>
      <c r="E13" s="435">
        <f>C13*D13</f>
        <v>6</v>
      </c>
    </row>
    <row r="14" spans="1:5" ht="13">
      <c r="A14" s="432"/>
      <c r="B14" s="354"/>
      <c r="C14" s="354"/>
      <c r="D14" s="436" t="s">
        <v>311</v>
      </c>
      <c r="E14" s="437">
        <f>E13</f>
        <v>6</v>
      </c>
    </row>
    <row r="15" spans="1:6" ht="13">
      <c r="A15" s="424"/>
      <c r="D15" s="417"/>
      <c r="E15" s="417"/>
      <c r="F15" s="417"/>
    </row>
    <row r="16" spans="1:6" ht="13">
      <c r="A16" s="350" t="str">
        <f>medição!A15</f>
        <v>1.2</v>
      </c>
      <c r="B16" s="438" t="str">
        <f>medição!B15</f>
        <v>TAPUME COM CALHA METÁLICA. AF_05/2018</v>
      </c>
      <c r="C16" s="439"/>
      <c r="D16" s="439"/>
      <c r="E16" s="440"/>
      <c r="F16" s="417"/>
    </row>
    <row r="17" spans="1:6" ht="13">
      <c r="A17" s="432"/>
      <c r="B17" s="364" t="s">
        <v>306</v>
      </c>
      <c r="C17" s="364" t="s">
        <v>741</v>
      </c>
      <c r="D17" s="364" t="s">
        <v>740</v>
      </c>
      <c r="E17" s="364" t="s">
        <v>309</v>
      </c>
      <c r="F17" s="417"/>
    </row>
    <row r="18" spans="1:6" ht="13">
      <c r="A18" s="432"/>
      <c r="B18" s="354" t="s">
        <v>742</v>
      </c>
      <c r="C18" s="434">
        <v>91.23</v>
      </c>
      <c r="D18" s="434">
        <v>2</v>
      </c>
      <c r="E18" s="435">
        <f>C18*D18</f>
        <v>182.46</v>
      </c>
      <c r="F18" s="417"/>
    </row>
    <row r="19" spans="1:6" ht="13">
      <c r="A19" s="432"/>
      <c r="B19" s="441"/>
      <c r="C19" s="442"/>
      <c r="D19" s="436" t="s">
        <v>311</v>
      </c>
      <c r="E19" s="437">
        <f>E18</f>
        <v>182.46</v>
      </c>
      <c r="F19" s="417"/>
    </row>
    <row r="20" spans="1:6" ht="13">
      <c r="A20" s="424"/>
      <c r="D20" s="417"/>
      <c r="E20" s="417"/>
      <c r="F20" s="417"/>
    </row>
    <row r="21" spans="1:6" ht="13">
      <c r="A21" s="350" t="str">
        <f>medição!A16</f>
        <v>1.3</v>
      </c>
      <c r="B21" s="438" t="str">
        <f>medição!B16</f>
        <v>BARRACÃO DA OBRA EM MADEIRA (INCL.INSTALAÇÕES)</v>
      </c>
      <c r="C21" s="439"/>
      <c r="D21" s="439"/>
      <c r="E21" s="440"/>
      <c r="F21" s="417"/>
    </row>
    <row r="22" spans="1:6" ht="13">
      <c r="A22" s="432"/>
      <c r="B22" s="345" t="s">
        <v>306</v>
      </c>
      <c r="C22" s="345" t="s">
        <v>739</v>
      </c>
      <c r="D22" s="345" t="s">
        <v>308</v>
      </c>
      <c r="E22" s="345" t="s">
        <v>309</v>
      </c>
      <c r="F22" s="417"/>
    </row>
    <row r="23" spans="1:6" ht="13">
      <c r="A23" s="432"/>
      <c r="B23" s="354" t="s">
        <v>743</v>
      </c>
      <c r="C23" s="443">
        <v>6</v>
      </c>
      <c r="D23" s="443">
        <v>3</v>
      </c>
      <c r="E23" s="435">
        <f>C23*D23</f>
        <v>18</v>
      </c>
      <c r="F23" s="417"/>
    </row>
    <row r="24" spans="1:6" ht="13">
      <c r="A24" s="432"/>
      <c r="B24" s="354"/>
      <c r="C24" s="354"/>
      <c r="D24" s="436" t="s">
        <v>311</v>
      </c>
      <c r="E24" s="437">
        <f>E23</f>
        <v>18</v>
      </c>
      <c r="F24" s="417"/>
    </row>
    <row r="25" spans="1:6" ht="13">
      <c r="A25" s="424"/>
      <c r="D25" s="417"/>
      <c r="E25" s="417"/>
      <c r="F25" s="417"/>
    </row>
    <row r="26" spans="1:7" ht="12.75" customHeight="1">
      <c r="A26" s="350" t="str">
        <f>medição!A17</f>
        <v>1.4</v>
      </c>
      <c r="B26" s="444" t="str">
        <f>medição!B17</f>
        <v>LOCAÇÃO CONVENCIONAL DA OBRA, UTILIZANDO GABARITO DE TÁBUAS CORRIDAS PONTALETADAS A CADA 2,00M - 2 UTILIZAÇÕES. AF_10/2018</v>
      </c>
      <c r="C26" s="444"/>
      <c r="D26" s="444"/>
      <c r="E26" s="444"/>
      <c r="F26" s="417"/>
      <c r="G26" s="416"/>
    </row>
    <row r="27" spans="1:7" ht="13">
      <c r="A27" s="432"/>
      <c r="B27" s="445" t="s">
        <v>306</v>
      </c>
      <c r="C27" s="345" t="s">
        <v>744</v>
      </c>
      <c r="D27" s="345" t="s">
        <v>745</v>
      </c>
      <c r="E27" s="345" t="s">
        <v>739</v>
      </c>
      <c r="F27" s="417"/>
      <c r="G27" s="446"/>
    </row>
    <row r="28" spans="1:7" ht="13">
      <c r="A28" s="432"/>
      <c r="B28" s="447" t="s">
        <v>746</v>
      </c>
      <c r="C28" s="443">
        <v>99.23</v>
      </c>
      <c r="D28" s="448">
        <v>1</v>
      </c>
      <c r="E28" s="443">
        <f>C28*D28</f>
        <v>99.23</v>
      </c>
      <c r="G28" s="417"/>
    </row>
    <row r="29" spans="1:7" ht="13">
      <c r="A29" s="432"/>
      <c r="B29" s="354"/>
      <c r="C29" s="359"/>
      <c r="D29" s="436" t="s">
        <v>311</v>
      </c>
      <c r="E29" s="449">
        <f>SUM(E28:E28)</f>
        <v>99.23</v>
      </c>
      <c r="F29" s="417"/>
      <c r="G29" s="417"/>
    </row>
    <row r="30" spans="1:7" ht="13">
      <c r="A30" s="424"/>
      <c r="B30" s="450"/>
      <c r="C30" s="451"/>
      <c r="D30" s="417"/>
      <c r="E30" s="417"/>
      <c r="F30" s="417"/>
      <c r="G30" s="417"/>
    </row>
    <row r="31" spans="1:7" ht="22.5" customHeight="1">
      <c r="A31" s="350" t="str">
        <f>medição!A18</f>
        <v>1.5</v>
      </c>
      <c r="B31" s="438" t="str">
        <f>medição!B18</f>
        <v>EXECUÇÃO DE SANITÁRIOS E VESTIÁRIO EM CANTEIRO DE OBRA EM CHAPA DE MADEIRA COMPENSADA, NÃO INCLUSO MOBILIÁRIO.AF_02/2016</v>
      </c>
      <c r="C31" s="439"/>
      <c r="D31" s="439"/>
      <c r="E31" s="440"/>
      <c r="F31" s="452"/>
      <c r="G31" s="453"/>
    </row>
    <row r="32" spans="1:5" ht="13">
      <c r="A32" s="432"/>
      <c r="B32" s="345" t="s">
        <v>306</v>
      </c>
      <c r="C32" s="345" t="s">
        <v>739</v>
      </c>
      <c r="D32" s="345" t="s">
        <v>308</v>
      </c>
      <c r="E32" s="345" t="s">
        <v>309</v>
      </c>
    </row>
    <row r="33" spans="1:5" ht="13">
      <c r="A33" s="432"/>
      <c r="B33" s="354" t="s">
        <v>743</v>
      </c>
      <c r="C33" s="443">
        <v>3</v>
      </c>
      <c r="D33" s="443">
        <v>3</v>
      </c>
      <c r="E33" s="435">
        <f>C33*D33</f>
        <v>9</v>
      </c>
    </row>
    <row r="34" spans="1:5" ht="13">
      <c r="A34" s="432"/>
      <c r="B34" s="354"/>
      <c r="C34" s="354"/>
      <c r="D34" s="436" t="s">
        <v>311</v>
      </c>
      <c r="E34" s="437">
        <f>E33</f>
        <v>9</v>
      </c>
    </row>
    <row r="35" spans="1:5" s="454" customFormat="1" ht="13">
      <c r="A35" s="455"/>
      <c r="C35" s="456"/>
      <c r="D35" s="457"/>
      <c r="E35" s="458"/>
    </row>
    <row r="36" spans="1:10" ht="13">
      <c r="A36" s="459" t="str">
        <f>medição!A20</f>
        <v>2.0</v>
      </c>
      <c r="B36" s="427" t="str">
        <f>medição!B20</f>
        <v>MOBILIZAÇÃO E DESMOBILIZAÇÃO</v>
      </c>
      <c r="C36" s="425"/>
      <c r="D36" s="425"/>
      <c r="E36" s="425"/>
      <c r="F36" s="425"/>
      <c r="G36" s="425"/>
      <c r="H36" s="425"/>
      <c r="I36" s="425"/>
      <c r="J36" s="428"/>
    </row>
    <row r="37" spans="1:5" s="454" customFormat="1" ht="13">
      <c r="A37" s="455"/>
      <c r="C37" s="456"/>
      <c r="D37" s="457"/>
      <c r="E37" s="458"/>
    </row>
    <row r="38" spans="1:5" s="454" customFormat="1" ht="13">
      <c r="A38" s="432" t="str">
        <f>medição!A21</f>
        <v>2.1</v>
      </c>
      <c r="B38" s="460" t="str">
        <f>medição!B21</f>
        <v>MOBILIZAÇÃO DE CANTEIRO DE OBRAS</v>
      </c>
      <c r="C38" s="461"/>
      <c r="D38" s="457"/>
      <c r="E38" s="458"/>
    </row>
    <row r="39" spans="1:5" s="454" customFormat="1" ht="13">
      <c r="A39" s="432"/>
      <c r="B39" s="364" t="s">
        <v>306</v>
      </c>
      <c r="C39" s="364" t="s">
        <v>745</v>
      </c>
      <c r="D39" s="457"/>
      <c r="E39" s="458"/>
    </row>
    <row r="40" spans="1:5" s="454" customFormat="1" ht="13">
      <c r="A40" s="432"/>
      <c r="B40" s="462" t="str">
        <f>B38</f>
        <v>MOBILIZAÇÃO DE CANTEIRO DE OBRAS</v>
      </c>
      <c r="C40" s="352">
        <v>1</v>
      </c>
      <c r="D40" s="457"/>
      <c r="E40" s="458"/>
    </row>
    <row r="41" spans="1:5" s="454" customFormat="1" ht="13">
      <c r="A41" s="432"/>
      <c r="B41" s="441" t="s">
        <v>311</v>
      </c>
      <c r="C41" s="463">
        <f>C40</f>
        <v>1</v>
      </c>
      <c r="D41" s="457"/>
      <c r="E41" s="458"/>
    </row>
    <row r="42" spans="1:5" s="454" customFormat="1" ht="13">
      <c r="A42" s="464"/>
      <c r="B42" s="465"/>
      <c r="C42" s="466"/>
      <c r="D42" s="457"/>
      <c r="E42" s="458"/>
    </row>
    <row r="43" spans="1:5" s="454" customFormat="1" ht="13">
      <c r="A43" s="432" t="str">
        <f>medição!A22</f>
        <v>2.2</v>
      </c>
      <c r="B43" s="460" t="str">
        <f>medição!B22</f>
        <v>DESMOBILIZAÇÃO DE CANTEIRO DE OBRAS</v>
      </c>
      <c r="C43" s="461"/>
      <c r="D43" s="457"/>
      <c r="E43" s="458"/>
    </row>
    <row r="44" spans="1:5" s="454" customFormat="1" ht="13">
      <c r="A44" s="432"/>
      <c r="B44" s="364" t="s">
        <v>306</v>
      </c>
      <c r="C44" s="364" t="s">
        <v>745</v>
      </c>
      <c r="D44" s="457"/>
      <c r="E44" s="458"/>
    </row>
    <row r="45" spans="1:5" s="454" customFormat="1" ht="13">
      <c r="A45" s="432"/>
      <c r="B45" s="462" t="str">
        <f>B43</f>
        <v>DESMOBILIZAÇÃO DE CANTEIRO DE OBRAS</v>
      </c>
      <c r="C45" s="352">
        <v>1</v>
      </c>
      <c r="D45" s="457"/>
      <c r="E45" s="458"/>
    </row>
    <row r="46" spans="1:5" s="454" customFormat="1" ht="13">
      <c r="A46" s="432"/>
      <c r="B46" s="441" t="s">
        <v>311</v>
      </c>
      <c r="C46" s="463">
        <f>C45</f>
        <v>1</v>
      </c>
      <c r="D46" s="457"/>
      <c r="E46" s="458"/>
    </row>
    <row r="47" spans="1:5" s="454" customFormat="1" ht="13">
      <c r="A47" s="455"/>
      <c r="C47" s="456"/>
      <c r="D47" s="457"/>
      <c r="E47" s="458"/>
    </row>
    <row r="48" spans="1:10" s="454" customFormat="1" ht="13">
      <c r="A48" s="432" t="str">
        <f>medição!A24</f>
        <v>3.0</v>
      </c>
      <c r="B48" s="430" t="str">
        <f>medição!B24</f>
        <v>ADMINISTRAÇÃO LOCAL</v>
      </c>
      <c r="C48" s="430"/>
      <c r="D48" s="430"/>
      <c r="E48" s="430"/>
      <c r="F48" s="430"/>
      <c r="G48" s="430"/>
      <c r="H48" s="430"/>
      <c r="I48" s="430"/>
      <c r="J48" s="430"/>
    </row>
    <row r="49" spans="1:10" s="454" customFormat="1" ht="13">
      <c r="A49" s="464"/>
      <c r="B49" s="467"/>
      <c r="C49" s="467"/>
      <c r="D49" s="468"/>
      <c r="E49" s="468"/>
      <c r="F49" s="469"/>
      <c r="G49" s="469"/>
      <c r="H49" s="368"/>
      <c r="I49" s="368"/>
      <c r="J49" s="368"/>
    </row>
    <row r="50" spans="1:10" s="454" customFormat="1" ht="13">
      <c r="A50" s="432" t="str">
        <f>medição!A25</f>
        <v>3.1</v>
      </c>
      <c r="B50" s="470" t="str">
        <f>medição!B25</f>
        <v>EQUIPE TÉCNICA</v>
      </c>
      <c r="C50" s="471"/>
      <c r="D50" s="472"/>
      <c r="E50" s="473"/>
      <c r="F50" s="474"/>
      <c r="G50" s="474"/>
      <c r="H50" s="368"/>
      <c r="I50" s="368"/>
      <c r="J50" s="368"/>
    </row>
    <row r="51" spans="1:10" s="454" customFormat="1" ht="13">
      <c r="A51" s="432"/>
      <c r="B51" s="364" t="s">
        <v>306</v>
      </c>
      <c r="C51" s="475" t="s">
        <v>745</v>
      </c>
      <c r="D51" s="476"/>
      <c r="E51" s="477"/>
      <c r="F51" s="474"/>
      <c r="G51" s="474"/>
      <c r="H51" s="368"/>
      <c r="I51" s="368"/>
      <c r="J51" s="368"/>
    </row>
    <row r="52" spans="1:10" s="454" customFormat="1" ht="13">
      <c r="A52" s="432"/>
      <c r="B52" s="354" t="s">
        <v>747</v>
      </c>
      <c r="C52" s="478">
        <v>1</v>
      </c>
      <c r="D52" s="479"/>
      <c r="E52" s="480"/>
      <c r="F52" s="474"/>
      <c r="G52" s="474"/>
      <c r="H52" s="368"/>
      <c r="I52" s="368"/>
      <c r="J52" s="368"/>
    </row>
    <row r="53" spans="1:10" s="454" customFormat="1" ht="13">
      <c r="A53" s="432"/>
      <c r="B53" s="441" t="s">
        <v>311</v>
      </c>
      <c r="C53" s="463">
        <f>C52</f>
        <v>1</v>
      </c>
      <c r="D53" s="481"/>
      <c r="E53" s="480"/>
      <c r="F53" s="474"/>
      <c r="G53" s="474"/>
      <c r="H53" s="368"/>
      <c r="I53" s="368"/>
      <c r="J53" s="368"/>
    </row>
    <row r="54" spans="1:5" ht="13">
      <c r="A54" s="455"/>
      <c r="B54" s="450"/>
      <c r="C54" s="482"/>
      <c r="D54" s="483"/>
      <c r="E54" s="484"/>
    </row>
    <row r="55" spans="1:10" ht="13">
      <c r="A55" s="485" t="s">
        <v>505</v>
      </c>
      <c r="B55" s="423" t="s">
        <v>500</v>
      </c>
      <c r="C55" s="423"/>
      <c r="D55" s="423"/>
      <c r="E55" s="423"/>
      <c r="F55" s="423"/>
      <c r="G55" s="423"/>
      <c r="H55" s="423"/>
      <c r="I55" s="423"/>
      <c r="J55" s="423"/>
    </row>
    <row r="56" spans="1:7" ht="13">
      <c r="A56" s="424"/>
      <c r="B56" s="425"/>
      <c r="C56" s="425"/>
      <c r="D56" s="425"/>
      <c r="E56" s="425"/>
      <c r="F56" s="425"/>
      <c r="G56" s="425"/>
    </row>
    <row r="57" spans="1:10" s="486" customFormat="1" ht="13">
      <c r="A57" s="364" t="s">
        <v>507</v>
      </c>
      <c r="B57" s="487" t="s">
        <v>91</v>
      </c>
      <c r="C57" s="487"/>
      <c r="D57" s="487"/>
      <c r="E57" s="487"/>
      <c r="F57" s="487"/>
      <c r="G57" s="487"/>
      <c r="H57" s="368"/>
      <c r="I57" s="368"/>
      <c r="J57" s="368"/>
    </row>
    <row r="58" spans="1:10" s="488" customFormat="1" ht="13">
      <c r="A58" s="364"/>
      <c r="B58" s="364" t="s">
        <v>306</v>
      </c>
      <c r="C58" s="364" t="s">
        <v>739</v>
      </c>
      <c r="D58" s="364" t="s">
        <v>308</v>
      </c>
      <c r="E58" s="364" t="s">
        <v>740</v>
      </c>
      <c r="F58" s="364" t="s">
        <v>745</v>
      </c>
      <c r="G58" s="345" t="s">
        <v>309</v>
      </c>
      <c r="H58" s="409"/>
      <c r="I58" s="409"/>
      <c r="J58" s="409"/>
    </row>
    <row r="59" spans="1:10" s="488" customFormat="1" ht="13">
      <c r="A59" s="364"/>
      <c r="B59" s="462" t="s">
        <v>748</v>
      </c>
      <c r="C59" s="489">
        <f>1+0.15+0.15</f>
        <v>1.30</v>
      </c>
      <c r="D59" s="489">
        <f>1+0.15+0.15</f>
        <v>1.30</v>
      </c>
      <c r="E59" s="489">
        <f>0.25+0.05</f>
        <v>0.30</v>
      </c>
      <c r="F59" s="490">
        <v>20</v>
      </c>
      <c r="G59" s="491">
        <f>PRODUCT(C59:F59)</f>
        <v>10.14</v>
      </c>
      <c r="H59" s="409"/>
      <c r="I59" s="409"/>
      <c r="J59" s="409"/>
    </row>
    <row r="60" spans="1:10" s="486" customFormat="1" ht="13">
      <c r="A60" s="364"/>
      <c r="B60" s="492" t="s">
        <v>749</v>
      </c>
      <c r="C60" s="434">
        <f>15.74</f>
        <v>15.74</v>
      </c>
      <c r="D60" s="434">
        <f>0.12+0.15+0.15</f>
        <v>0.42</v>
      </c>
      <c r="E60" s="434">
        <f>0.25+0.05</f>
        <v>0.30</v>
      </c>
      <c r="F60" s="493">
        <v>1</v>
      </c>
      <c r="G60" s="491">
        <f t="shared" si="0" ref="G60:G74">PRODUCT(C60:F60)</f>
        <v>1.98</v>
      </c>
      <c r="H60" s="368"/>
      <c r="I60" s="368"/>
      <c r="J60" s="368"/>
    </row>
    <row r="61" spans="1:10" s="486" customFormat="1" ht="13">
      <c r="A61" s="364"/>
      <c r="B61" s="492" t="s">
        <v>750</v>
      </c>
      <c r="C61" s="434">
        <v>12.64</v>
      </c>
      <c r="D61" s="434">
        <f t="shared" si="1" ref="D61:D82">0.12+0.15+0.15</f>
        <v>0.42</v>
      </c>
      <c r="E61" s="434">
        <f t="shared" si="2" ref="E61:E82">0.25+0.05</f>
        <v>0.30</v>
      </c>
      <c r="F61" s="493">
        <v>1</v>
      </c>
      <c r="G61" s="491">
        <f t="shared" si="0"/>
        <v>1.59</v>
      </c>
      <c r="H61" s="368"/>
      <c r="I61" s="368"/>
      <c r="J61" s="368"/>
    </row>
    <row r="62" spans="1:10" s="486" customFormat="1" ht="13">
      <c r="A62" s="364"/>
      <c r="B62" s="492" t="s">
        <v>751</v>
      </c>
      <c r="C62" s="434">
        <v>4.24</v>
      </c>
      <c r="D62" s="434">
        <f t="shared" si="1"/>
        <v>0.42</v>
      </c>
      <c r="E62" s="434">
        <f t="shared" si="2"/>
        <v>0.30</v>
      </c>
      <c r="F62" s="493">
        <v>6</v>
      </c>
      <c r="G62" s="491">
        <f t="shared" si="0"/>
        <v>3.21</v>
      </c>
      <c r="H62" s="368"/>
      <c r="I62" s="368"/>
      <c r="J62" s="368"/>
    </row>
    <row r="63" spans="1:10" s="486" customFormat="1" ht="13">
      <c r="A63" s="364"/>
      <c r="B63" s="492" t="s">
        <v>752</v>
      </c>
      <c r="C63" s="434">
        <v>6.90</v>
      </c>
      <c r="D63" s="434">
        <f t="shared" si="1"/>
        <v>0.42</v>
      </c>
      <c r="E63" s="434">
        <f t="shared" si="2"/>
        <v>0.30</v>
      </c>
      <c r="F63" s="493">
        <v>1</v>
      </c>
      <c r="G63" s="491">
        <f t="shared" si="0"/>
        <v>0.87</v>
      </c>
      <c r="H63" s="368"/>
      <c r="I63" s="368"/>
      <c r="J63" s="368"/>
    </row>
    <row r="64" spans="1:10" s="486" customFormat="1" ht="13">
      <c r="A64" s="364"/>
      <c r="B64" s="492" t="s">
        <v>753</v>
      </c>
      <c r="C64" s="434">
        <v>10</v>
      </c>
      <c r="D64" s="434">
        <f t="shared" si="1"/>
        <v>0.42</v>
      </c>
      <c r="E64" s="434">
        <f t="shared" si="2"/>
        <v>0.30</v>
      </c>
      <c r="F64" s="493">
        <v>1</v>
      </c>
      <c r="G64" s="491">
        <f t="shared" si="0"/>
        <v>1.26</v>
      </c>
      <c r="H64" s="368"/>
      <c r="I64" s="368"/>
      <c r="J64" s="368"/>
    </row>
    <row r="65" spans="1:10" s="486" customFormat="1" ht="13">
      <c r="A65" s="364"/>
      <c r="B65" s="492" t="s">
        <v>754</v>
      </c>
      <c r="C65" s="434">
        <v>3.50</v>
      </c>
      <c r="D65" s="434">
        <f t="shared" si="1"/>
        <v>0.42</v>
      </c>
      <c r="E65" s="434">
        <f t="shared" si="2"/>
        <v>0.30</v>
      </c>
      <c r="F65" s="493">
        <v>5</v>
      </c>
      <c r="G65" s="491">
        <f t="shared" si="0"/>
        <v>2.21</v>
      </c>
      <c r="H65" s="368"/>
      <c r="I65" s="368"/>
      <c r="J65" s="368"/>
    </row>
    <row r="66" spans="1:10" s="486" customFormat="1" ht="13.5" customHeight="1">
      <c r="A66" s="364"/>
      <c r="B66" s="492" t="s">
        <v>755</v>
      </c>
      <c r="C66" s="434">
        <v>4.80</v>
      </c>
      <c r="D66" s="434">
        <f t="shared" si="1"/>
        <v>0.42</v>
      </c>
      <c r="E66" s="434">
        <f t="shared" si="2"/>
        <v>0.30</v>
      </c>
      <c r="F66" s="493">
        <v>2</v>
      </c>
      <c r="G66" s="491">
        <f t="shared" si="0"/>
        <v>1.21</v>
      </c>
      <c r="H66" s="368"/>
      <c r="I66" s="368"/>
      <c r="J66" s="368"/>
    </row>
    <row r="67" spans="1:10" s="486" customFormat="1" ht="13">
      <c r="A67" s="364"/>
      <c r="B67" s="492" t="s">
        <v>756</v>
      </c>
      <c r="C67" s="434">
        <v>2.4700000000000002</v>
      </c>
      <c r="D67" s="434">
        <f t="shared" si="1"/>
        <v>0.42</v>
      </c>
      <c r="E67" s="434">
        <f t="shared" si="2"/>
        <v>0.30</v>
      </c>
      <c r="F67" s="493">
        <v>2</v>
      </c>
      <c r="G67" s="491">
        <f t="shared" si="0"/>
        <v>0.62</v>
      </c>
      <c r="H67" s="368"/>
      <c r="I67" s="368"/>
      <c r="J67" s="368"/>
    </row>
    <row r="68" spans="1:10" s="486" customFormat="1" ht="13">
      <c r="A68" s="364"/>
      <c r="B68" s="492" t="s">
        <v>757</v>
      </c>
      <c r="C68" s="434">
        <v>2.0499999999999998</v>
      </c>
      <c r="D68" s="434">
        <f t="shared" si="1"/>
        <v>0.42</v>
      </c>
      <c r="E68" s="434">
        <f t="shared" si="2"/>
        <v>0.30</v>
      </c>
      <c r="F68" s="493">
        <v>2</v>
      </c>
      <c r="G68" s="491">
        <f t="shared" si="0"/>
        <v>0.52</v>
      </c>
      <c r="H68" s="368"/>
      <c r="I68" s="368"/>
      <c r="J68" s="368"/>
    </row>
    <row r="69" spans="1:10" s="486" customFormat="1" ht="13">
      <c r="A69" s="364"/>
      <c r="B69" s="492" t="s">
        <v>758</v>
      </c>
      <c r="C69" s="434">
        <v>3.12</v>
      </c>
      <c r="D69" s="434">
        <f t="shared" si="1"/>
        <v>0.42</v>
      </c>
      <c r="E69" s="434">
        <f t="shared" si="2"/>
        <v>0.30</v>
      </c>
      <c r="F69" s="493">
        <v>1</v>
      </c>
      <c r="G69" s="491">
        <f t="shared" si="0"/>
        <v>0.39</v>
      </c>
      <c r="H69" s="368"/>
      <c r="I69" s="368"/>
      <c r="J69" s="368"/>
    </row>
    <row r="70" spans="1:10" s="486" customFormat="1" ht="13">
      <c r="A70" s="364"/>
      <c r="B70" s="492" t="s">
        <v>759</v>
      </c>
      <c r="C70" s="434">
        <v>1.74</v>
      </c>
      <c r="D70" s="434">
        <f t="shared" si="1"/>
        <v>0.42</v>
      </c>
      <c r="E70" s="434">
        <f t="shared" si="2"/>
        <v>0.30</v>
      </c>
      <c r="F70" s="493">
        <v>2</v>
      </c>
      <c r="G70" s="491">
        <f t="shared" si="0"/>
        <v>0.44</v>
      </c>
      <c r="H70" s="368"/>
      <c r="I70" s="368"/>
      <c r="J70" s="368"/>
    </row>
    <row r="71" spans="1:10" s="486" customFormat="1" ht="13">
      <c r="A71" s="364"/>
      <c r="B71" s="492" t="s">
        <v>760</v>
      </c>
      <c r="C71" s="434">
        <v>9.24</v>
      </c>
      <c r="D71" s="434">
        <f t="shared" si="1"/>
        <v>0.42</v>
      </c>
      <c r="E71" s="434">
        <f t="shared" si="2"/>
        <v>0.30</v>
      </c>
      <c r="F71" s="493">
        <v>1</v>
      </c>
      <c r="G71" s="491">
        <f t="shared" si="0"/>
        <v>1.1599999999999999</v>
      </c>
      <c r="H71" s="368"/>
      <c r="I71" s="368"/>
      <c r="J71" s="368"/>
    </row>
    <row r="72" spans="1:10" s="486" customFormat="1" ht="13">
      <c r="A72" s="364"/>
      <c r="B72" s="492" t="s">
        <v>761</v>
      </c>
      <c r="C72" s="434">
        <v>29.67</v>
      </c>
      <c r="D72" s="434">
        <f t="shared" si="1"/>
        <v>0.42</v>
      </c>
      <c r="E72" s="434">
        <f t="shared" si="2"/>
        <v>0.30</v>
      </c>
      <c r="F72" s="493">
        <v>1</v>
      </c>
      <c r="G72" s="491">
        <f t="shared" si="0"/>
        <v>3.74</v>
      </c>
      <c r="H72" s="368"/>
      <c r="I72" s="368"/>
      <c r="J72" s="368"/>
    </row>
    <row r="73" spans="1:10" s="486" customFormat="1" ht="13">
      <c r="A73" s="364"/>
      <c r="B73" s="492" t="s">
        <v>762</v>
      </c>
      <c r="C73" s="434">
        <v>3.24</v>
      </c>
      <c r="D73" s="434">
        <f t="shared" si="1"/>
        <v>0.42</v>
      </c>
      <c r="E73" s="434">
        <f t="shared" si="2"/>
        <v>0.30</v>
      </c>
      <c r="F73" s="493">
        <v>6</v>
      </c>
      <c r="G73" s="491">
        <f t="shared" si="0"/>
        <v>2.4500000000000002</v>
      </c>
      <c r="H73" s="368"/>
      <c r="I73" s="368"/>
      <c r="J73" s="368"/>
    </row>
    <row r="74" spans="1:10" s="486" customFormat="1" ht="13">
      <c r="A74" s="364"/>
      <c r="B74" s="492" t="s">
        <v>763</v>
      </c>
      <c r="C74" s="434">
        <v>6.96</v>
      </c>
      <c r="D74" s="434">
        <f t="shared" si="1"/>
        <v>0.42</v>
      </c>
      <c r="E74" s="434">
        <f t="shared" si="2"/>
        <v>0.30</v>
      </c>
      <c r="F74" s="493">
        <v>2</v>
      </c>
      <c r="G74" s="491">
        <f t="shared" si="0"/>
        <v>1.75</v>
      </c>
      <c r="H74" s="368"/>
      <c r="I74" s="368"/>
      <c r="J74" s="368"/>
    </row>
    <row r="75" spans="1:10" s="486" customFormat="1" ht="13">
      <c r="A75" s="364"/>
      <c r="B75" s="492" t="s">
        <v>764</v>
      </c>
      <c r="C75" s="434">
        <v>6.06</v>
      </c>
      <c r="D75" s="434">
        <f t="shared" si="1"/>
        <v>0.42</v>
      </c>
      <c r="E75" s="434">
        <f t="shared" si="2"/>
        <v>0.30</v>
      </c>
      <c r="F75" s="493">
        <v>1</v>
      </c>
      <c r="G75" s="491">
        <f t="shared" si="3" ref="G75:G76">PRODUCT(C75:F75)</f>
        <v>0.76</v>
      </c>
      <c r="H75" s="368"/>
      <c r="I75" s="368"/>
      <c r="J75" s="368"/>
    </row>
    <row r="76" spans="1:10" s="486" customFormat="1" ht="13">
      <c r="A76" s="364"/>
      <c r="B76" s="492" t="s">
        <v>765</v>
      </c>
      <c r="C76" s="434">
        <v>7.56</v>
      </c>
      <c r="D76" s="434">
        <f t="shared" si="1"/>
        <v>0.42</v>
      </c>
      <c r="E76" s="434">
        <f t="shared" si="2"/>
        <v>0.30</v>
      </c>
      <c r="F76" s="493">
        <v>1</v>
      </c>
      <c r="G76" s="491">
        <f t="shared" si="3"/>
        <v>0.95</v>
      </c>
      <c r="H76" s="368"/>
      <c r="I76" s="368"/>
      <c r="J76" s="368"/>
    </row>
    <row r="77" spans="1:10" s="486" customFormat="1" ht="13">
      <c r="A77" s="364"/>
      <c r="B77" s="492" t="s">
        <v>766</v>
      </c>
      <c r="C77" s="434">
        <v>4.96</v>
      </c>
      <c r="D77" s="434">
        <f t="shared" si="1"/>
        <v>0.42</v>
      </c>
      <c r="E77" s="434">
        <f t="shared" si="2"/>
        <v>0.30</v>
      </c>
      <c r="F77" s="493">
        <v>1</v>
      </c>
      <c r="G77" s="491">
        <f t="shared" si="4" ref="G77">PRODUCT(C77:F77)</f>
        <v>0.62</v>
      </c>
      <c r="H77" s="368"/>
      <c r="I77" s="368"/>
      <c r="J77" s="368"/>
    </row>
    <row r="78" spans="1:10" s="486" customFormat="1" ht="13">
      <c r="A78" s="364"/>
      <c r="B78" s="492" t="s">
        <v>767</v>
      </c>
      <c r="C78" s="434">
        <v>2.02</v>
      </c>
      <c r="D78" s="434">
        <f t="shared" si="1"/>
        <v>0.42</v>
      </c>
      <c r="E78" s="434">
        <f t="shared" si="2"/>
        <v>0.30</v>
      </c>
      <c r="F78" s="493">
        <v>2</v>
      </c>
      <c r="G78" s="491">
        <f t="shared" si="5" ref="G78:G82">PRODUCT(C78:F78)</f>
        <v>0.51</v>
      </c>
      <c r="H78" s="368"/>
      <c r="I78" s="368"/>
      <c r="J78" s="368"/>
    </row>
    <row r="79" spans="1:10" s="486" customFormat="1" ht="13">
      <c r="A79" s="364"/>
      <c r="B79" s="492" t="s">
        <v>768</v>
      </c>
      <c r="C79" s="434">
        <v>3</v>
      </c>
      <c r="D79" s="434">
        <f t="shared" si="1"/>
        <v>0.42</v>
      </c>
      <c r="E79" s="434">
        <f t="shared" si="2"/>
        <v>0.30</v>
      </c>
      <c r="F79" s="493">
        <v>2</v>
      </c>
      <c r="G79" s="491">
        <f t="shared" si="5"/>
        <v>0.76</v>
      </c>
      <c r="H79" s="368"/>
      <c r="I79" s="368"/>
      <c r="J79" s="368"/>
    </row>
    <row r="80" spans="1:10" s="486" customFormat="1" ht="13">
      <c r="A80" s="364"/>
      <c r="B80" s="492" t="s">
        <v>769</v>
      </c>
      <c r="C80" s="434">
        <v>12.42</v>
      </c>
      <c r="D80" s="434">
        <f t="shared" si="1"/>
        <v>0.42</v>
      </c>
      <c r="E80" s="434">
        <f t="shared" si="2"/>
        <v>0.30</v>
      </c>
      <c r="F80" s="493">
        <v>1</v>
      </c>
      <c r="G80" s="491">
        <f t="shared" si="5"/>
        <v>1.56</v>
      </c>
      <c r="H80" s="368"/>
      <c r="I80" s="368"/>
      <c r="J80" s="368"/>
    </row>
    <row r="81" spans="1:10" s="486" customFormat="1" ht="13">
      <c r="A81" s="364"/>
      <c r="B81" s="492" t="s">
        <v>770</v>
      </c>
      <c r="C81" s="434">
        <v>13.71</v>
      </c>
      <c r="D81" s="434">
        <f t="shared" si="1"/>
        <v>0.42</v>
      </c>
      <c r="E81" s="434">
        <f t="shared" si="2"/>
        <v>0.30</v>
      </c>
      <c r="F81" s="493">
        <v>2</v>
      </c>
      <c r="G81" s="491">
        <f t="shared" si="5"/>
        <v>3.45</v>
      </c>
      <c r="H81" s="368"/>
      <c r="I81" s="368"/>
      <c r="J81" s="368"/>
    </row>
    <row r="82" spans="1:10" s="486" customFormat="1" ht="13">
      <c r="A82" s="364"/>
      <c r="B82" s="492" t="s">
        <v>771</v>
      </c>
      <c r="C82" s="434">
        <v>1.1200000000000001</v>
      </c>
      <c r="D82" s="434">
        <f t="shared" si="1"/>
        <v>0.42</v>
      </c>
      <c r="E82" s="434">
        <f t="shared" si="2"/>
        <v>0.30</v>
      </c>
      <c r="F82" s="493">
        <v>1</v>
      </c>
      <c r="G82" s="491">
        <f t="shared" si="5"/>
        <v>0.14000000000000001</v>
      </c>
      <c r="H82" s="368"/>
      <c r="I82" s="368"/>
      <c r="J82" s="368"/>
    </row>
    <row r="83" spans="1:10" s="486" customFormat="1" ht="13">
      <c r="A83" s="364"/>
      <c r="B83" s="354"/>
      <c r="C83" s="359"/>
      <c r="D83" s="494"/>
      <c r="E83" s="354"/>
      <c r="F83" s="495" t="s">
        <v>311</v>
      </c>
      <c r="G83" s="496">
        <f>SUM(G59:G82)</f>
        <v>42.29</v>
      </c>
      <c r="H83" s="368"/>
      <c r="I83" s="368"/>
      <c r="J83" s="368"/>
    </row>
    <row r="84" spans="1:10" ht="13">
      <c r="A84" s="497"/>
      <c r="B84" s="368"/>
      <c r="C84" s="498"/>
      <c r="D84" s="498"/>
      <c r="E84" s="368"/>
      <c r="F84" s="499"/>
      <c r="G84" s="500"/>
      <c r="H84" s="368"/>
      <c r="I84" s="368"/>
      <c r="J84" s="368"/>
    </row>
    <row r="85" spans="1:10" ht="25.5" customHeight="1">
      <c r="A85" s="364" t="s">
        <v>509</v>
      </c>
      <c r="B85" s="487" t="s">
        <v>501</v>
      </c>
      <c r="C85" s="487"/>
      <c r="D85" s="487"/>
      <c r="E85" s="487"/>
      <c r="F85" s="501"/>
      <c r="G85" s="502"/>
      <c r="H85" s="368"/>
      <c r="I85" s="368"/>
      <c r="J85" s="368"/>
    </row>
    <row r="86" spans="1:10" s="503" customFormat="1" ht="13">
      <c r="A86" s="364"/>
      <c r="B86" s="364" t="s">
        <v>772</v>
      </c>
      <c r="C86" s="504" t="s">
        <v>309</v>
      </c>
      <c r="D86" s="504" t="s">
        <v>773</v>
      </c>
      <c r="E86" s="505" t="s">
        <v>309</v>
      </c>
      <c r="F86" s="506"/>
      <c r="G86" s="409"/>
      <c r="H86" s="409"/>
      <c r="I86" s="409"/>
      <c r="J86" s="409"/>
    </row>
    <row r="87" spans="1:10" ht="13">
      <c r="A87" s="364"/>
      <c r="B87" s="354" t="s">
        <v>774</v>
      </c>
      <c r="C87" s="507">
        <f>G83</f>
        <v>42.29</v>
      </c>
      <c r="D87" s="508">
        <v>0.30</v>
      </c>
      <c r="E87" s="509">
        <f>C87*D87</f>
        <v>12.69</v>
      </c>
      <c r="F87" s="510"/>
      <c r="G87" s="368"/>
      <c r="H87" s="368"/>
      <c r="I87" s="368"/>
      <c r="J87" s="368"/>
    </row>
    <row r="88" spans="1:10" ht="13">
      <c r="A88" s="364"/>
      <c r="B88" s="354"/>
      <c r="C88" s="435"/>
      <c r="D88" s="511" t="s">
        <v>311</v>
      </c>
      <c r="E88" s="512">
        <f>E87</f>
        <v>12.69</v>
      </c>
      <c r="F88" s="513"/>
      <c r="G88" s="368"/>
      <c r="H88" s="368"/>
      <c r="I88" s="368"/>
      <c r="J88" s="368"/>
    </row>
    <row r="89" spans="1:10" ht="13">
      <c r="A89" s="497"/>
      <c r="B89" s="465"/>
      <c r="C89" s="514"/>
      <c r="D89" s="515"/>
      <c r="E89" s="516"/>
      <c r="F89" s="517"/>
      <c r="G89" s="368"/>
      <c r="H89" s="368"/>
      <c r="I89" s="368"/>
      <c r="J89" s="368"/>
    </row>
    <row r="90" spans="1:10" ht="13">
      <c r="A90" s="364" t="s">
        <v>775</v>
      </c>
      <c r="B90" s="487" t="s">
        <v>105</v>
      </c>
      <c r="C90" s="487"/>
      <c r="D90" s="487"/>
      <c r="E90" s="487"/>
      <c r="F90" s="501"/>
      <c r="G90" s="502"/>
      <c r="H90" s="368"/>
      <c r="I90" s="368"/>
      <c r="J90" s="368"/>
    </row>
    <row r="91" spans="1:10" ht="13">
      <c r="A91" s="364"/>
      <c r="B91" s="364" t="s">
        <v>306</v>
      </c>
      <c r="C91" s="364" t="s">
        <v>776</v>
      </c>
      <c r="D91" s="364" t="s">
        <v>777</v>
      </c>
      <c r="E91" s="364" t="s">
        <v>309</v>
      </c>
      <c r="F91" s="476"/>
      <c r="G91" s="518"/>
      <c r="H91" s="368"/>
      <c r="I91" s="368"/>
      <c r="J91" s="368"/>
    </row>
    <row r="92" spans="1:10" ht="13">
      <c r="A92" s="364"/>
      <c r="B92" s="354" t="s">
        <v>105</v>
      </c>
      <c r="C92" s="507">
        <f>G83</f>
        <v>42.29</v>
      </c>
      <c r="D92" s="507">
        <v>16.420000000000002</v>
      </c>
      <c r="E92" s="507">
        <f>C92-D92</f>
        <v>25.87</v>
      </c>
      <c r="F92" s="479"/>
      <c r="G92" s="517"/>
      <c r="H92" s="368"/>
      <c r="I92" s="368"/>
      <c r="J92" s="368"/>
    </row>
    <row r="93" spans="1:10" ht="13">
      <c r="A93" s="364"/>
      <c r="B93" s="354"/>
      <c r="C93" s="359"/>
      <c r="D93" s="511" t="s">
        <v>311</v>
      </c>
      <c r="E93" s="507">
        <f>E92</f>
        <v>25.87</v>
      </c>
      <c r="F93" s="519"/>
      <c r="G93" s="500"/>
      <c r="H93" s="368"/>
      <c r="I93" s="368"/>
      <c r="J93" s="368"/>
    </row>
    <row r="94" spans="1:10" ht="13">
      <c r="A94" s="520"/>
      <c r="B94" s="368"/>
      <c r="C94" s="498"/>
      <c r="D94" s="515"/>
      <c r="E94" s="500"/>
      <c r="F94" s="499"/>
      <c r="G94" s="500"/>
      <c r="H94" s="368"/>
      <c r="I94" s="368"/>
      <c r="J94" s="368"/>
    </row>
    <row r="95" spans="1:10" ht="13">
      <c r="A95" s="364" t="s">
        <v>778</v>
      </c>
      <c r="B95" s="430" t="s">
        <v>504</v>
      </c>
      <c r="C95" s="430"/>
      <c r="D95" s="430"/>
      <c r="E95" s="430"/>
      <c r="F95" s="499"/>
      <c r="G95" s="500"/>
      <c r="H95" s="368"/>
      <c r="I95" s="368"/>
      <c r="J95" s="368"/>
    </row>
    <row r="96" spans="1:10" ht="13">
      <c r="A96" s="364"/>
      <c r="B96" s="364" t="s">
        <v>772</v>
      </c>
      <c r="C96" s="504" t="s">
        <v>779</v>
      </c>
      <c r="D96" s="504" t="s">
        <v>318</v>
      </c>
      <c r="E96" s="505" t="s">
        <v>309</v>
      </c>
      <c r="F96" s="499"/>
      <c r="G96" s="500"/>
      <c r="H96" s="368"/>
      <c r="I96" s="368"/>
      <c r="J96" s="368"/>
    </row>
    <row r="97" spans="1:12" ht="13">
      <c r="A97" s="364"/>
      <c r="B97" s="354" t="s">
        <v>780</v>
      </c>
      <c r="C97" s="521">
        <v>4.50</v>
      </c>
      <c r="D97" s="489">
        <v>0.15</v>
      </c>
      <c r="E97" s="507">
        <f>C97*D97</f>
        <v>0.68</v>
      </c>
      <c r="F97" s="499"/>
      <c r="G97" s="500"/>
      <c r="H97" s="368"/>
      <c r="I97" s="368"/>
      <c r="J97" s="368"/>
      <c r="K97" s="474"/>
      <c r="L97" s="522"/>
    </row>
    <row r="98" spans="1:12" ht="13">
      <c r="A98" s="364"/>
      <c r="B98" s="354" t="s">
        <v>781</v>
      </c>
      <c r="C98" s="521">
        <v>9</v>
      </c>
      <c r="D98" s="489">
        <v>0.15</v>
      </c>
      <c r="E98" s="507">
        <f t="shared" si="6" ref="E98:E127">C98*D98</f>
        <v>1.35</v>
      </c>
      <c r="F98" s="499"/>
      <c r="G98" s="500"/>
      <c r="H98" s="368"/>
      <c r="I98" s="368"/>
      <c r="J98" s="368"/>
      <c r="K98" s="474"/>
      <c r="L98" s="522"/>
    </row>
    <row r="99" spans="1:12" ht="13">
      <c r="A99" s="364"/>
      <c r="B99" s="354" t="s">
        <v>782</v>
      </c>
      <c r="C99" s="521">
        <v>7.56</v>
      </c>
      <c r="D99" s="489">
        <v>0.15</v>
      </c>
      <c r="E99" s="507">
        <f t="shared" si="6"/>
        <v>1.1299999999999999</v>
      </c>
      <c r="F99" s="499"/>
      <c r="G99" s="500"/>
      <c r="H99" s="368"/>
      <c r="I99" s="368"/>
      <c r="J99" s="368"/>
      <c r="K99" s="474"/>
      <c r="L99" s="522"/>
    </row>
    <row r="100" spans="1:12" ht="13">
      <c r="A100" s="364"/>
      <c r="B100" s="354" t="s">
        <v>783</v>
      </c>
      <c r="C100" s="521">
        <v>3.60</v>
      </c>
      <c r="D100" s="489">
        <v>0.15</v>
      </c>
      <c r="E100" s="507">
        <f t="shared" si="6"/>
        <v>0.54</v>
      </c>
      <c r="F100" s="499"/>
      <c r="G100" s="500"/>
      <c r="H100" s="368"/>
      <c r="I100" s="368"/>
      <c r="J100" s="368"/>
      <c r="K100" s="474"/>
      <c r="L100" s="522"/>
    </row>
    <row r="101" spans="1:12" ht="13">
      <c r="A101" s="364"/>
      <c r="B101" s="354" t="s">
        <v>784</v>
      </c>
      <c r="C101" s="521">
        <v>3.06</v>
      </c>
      <c r="D101" s="489">
        <v>0.15</v>
      </c>
      <c r="E101" s="507">
        <f t="shared" si="6"/>
        <v>0.46</v>
      </c>
      <c r="F101" s="499"/>
      <c r="G101" s="500"/>
      <c r="H101" s="368"/>
      <c r="I101" s="368"/>
      <c r="J101" s="368"/>
      <c r="K101" s="474"/>
      <c r="L101" s="522"/>
    </row>
    <row r="102" spans="1:12" ht="13">
      <c r="A102" s="364"/>
      <c r="B102" s="354" t="s">
        <v>785</v>
      </c>
      <c r="C102" s="521">
        <v>3.45</v>
      </c>
      <c r="D102" s="489">
        <v>0.15</v>
      </c>
      <c r="E102" s="507">
        <f t="shared" si="6"/>
        <v>0.52</v>
      </c>
      <c r="F102" s="499"/>
      <c r="G102" s="500"/>
      <c r="H102" s="368"/>
      <c r="I102" s="368"/>
      <c r="J102" s="368"/>
      <c r="K102" s="474"/>
      <c r="L102" s="522"/>
    </row>
    <row r="103" spans="1:12" ht="13">
      <c r="A103" s="364"/>
      <c r="B103" s="354" t="s">
        <v>786</v>
      </c>
      <c r="C103" s="521">
        <v>3.45</v>
      </c>
      <c r="D103" s="489">
        <v>0.15</v>
      </c>
      <c r="E103" s="507">
        <f t="shared" si="6"/>
        <v>0.52</v>
      </c>
      <c r="F103" s="499"/>
      <c r="G103" s="500"/>
      <c r="H103" s="368"/>
      <c r="I103" s="368"/>
      <c r="J103" s="368"/>
      <c r="K103" s="474"/>
      <c r="L103" s="522"/>
    </row>
    <row r="104" spans="1:12" ht="13">
      <c r="A104" s="364"/>
      <c r="B104" s="354" t="s">
        <v>787</v>
      </c>
      <c r="C104" s="521">
        <v>20</v>
      </c>
      <c r="D104" s="489">
        <v>0.15</v>
      </c>
      <c r="E104" s="507">
        <f t="shared" si="6"/>
        <v>3</v>
      </c>
      <c r="F104" s="499"/>
      <c r="G104" s="500"/>
      <c r="H104" s="368"/>
      <c r="I104" s="368"/>
      <c r="J104" s="368"/>
      <c r="K104" s="474"/>
      <c r="L104" s="522"/>
    </row>
    <row r="105" spans="1:12" ht="13">
      <c r="A105" s="364"/>
      <c r="B105" s="354" t="s">
        <v>788</v>
      </c>
      <c r="C105" s="521">
        <v>11.80</v>
      </c>
      <c r="D105" s="489">
        <v>0.15</v>
      </c>
      <c r="E105" s="507">
        <f t="shared" si="6"/>
        <v>1.77</v>
      </c>
      <c r="F105" s="499"/>
      <c r="G105" s="500"/>
      <c r="H105" s="368"/>
      <c r="I105" s="368"/>
      <c r="J105" s="368"/>
      <c r="K105" s="474"/>
      <c r="L105" s="522"/>
    </row>
    <row r="106" spans="1:12" ht="13">
      <c r="A106" s="364"/>
      <c r="B106" s="354" t="s">
        <v>789</v>
      </c>
      <c r="C106" s="521">
        <v>18</v>
      </c>
      <c r="D106" s="489">
        <v>0.15</v>
      </c>
      <c r="E106" s="507">
        <f t="shared" si="6"/>
        <v>2.70</v>
      </c>
      <c r="F106" s="499"/>
      <c r="G106" s="500"/>
      <c r="H106" s="368"/>
      <c r="I106" s="368"/>
      <c r="J106" s="368"/>
      <c r="K106" s="474"/>
      <c r="L106" s="522"/>
    </row>
    <row r="107" spans="1:12" ht="13">
      <c r="A107" s="364"/>
      <c r="B107" s="354" t="s">
        <v>790</v>
      </c>
      <c r="C107" s="521">
        <v>4.80</v>
      </c>
      <c r="D107" s="489">
        <v>0.15</v>
      </c>
      <c r="E107" s="507">
        <f t="shared" si="6"/>
        <v>0.72</v>
      </c>
      <c r="F107" s="499"/>
      <c r="G107" s="500"/>
      <c r="H107" s="368"/>
      <c r="I107" s="368"/>
      <c r="J107" s="368"/>
      <c r="K107" s="474"/>
      <c r="L107" s="522"/>
    </row>
    <row r="108" spans="1:12" ht="13">
      <c r="A108" s="364"/>
      <c r="B108" s="354" t="s">
        <v>791</v>
      </c>
      <c r="C108" s="521">
        <v>3.20</v>
      </c>
      <c r="D108" s="489">
        <v>0.15</v>
      </c>
      <c r="E108" s="507">
        <f t="shared" si="6"/>
        <v>0.48</v>
      </c>
      <c r="F108" s="499"/>
      <c r="G108" s="500"/>
      <c r="H108" s="368"/>
      <c r="I108" s="368"/>
      <c r="J108" s="368"/>
      <c r="K108" s="474"/>
      <c r="L108" s="522"/>
    </row>
    <row r="109" spans="1:12" ht="13">
      <c r="A109" s="364"/>
      <c r="B109" s="354" t="s">
        <v>792</v>
      </c>
      <c r="C109" s="521">
        <v>3.20</v>
      </c>
      <c r="D109" s="489">
        <v>0.15</v>
      </c>
      <c r="E109" s="507">
        <f t="shared" si="6"/>
        <v>0.48</v>
      </c>
      <c r="F109" s="499"/>
      <c r="G109" s="500"/>
      <c r="H109" s="368"/>
      <c r="I109" s="368"/>
      <c r="J109" s="368"/>
      <c r="K109" s="474"/>
      <c r="L109" s="522"/>
    </row>
    <row r="110" spans="1:12" ht="13">
      <c r="A110" s="364"/>
      <c r="B110" s="354" t="s">
        <v>793</v>
      </c>
      <c r="C110" s="521">
        <v>3.26</v>
      </c>
      <c r="D110" s="489">
        <v>0.15</v>
      </c>
      <c r="E110" s="507">
        <f t="shared" si="6"/>
        <v>0.49</v>
      </c>
      <c r="F110" s="499"/>
      <c r="G110" s="500"/>
      <c r="H110" s="368"/>
      <c r="I110" s="368"/>
      <c r="J110" s="368"/>
      <c r="K110" s="474"/>
      <c r="L110" s="522"/>
    </row>
    <row r="111" spans="1:12" ht="13">
      <c r="A111" s="364"/>
      <c r="B111" s="354" t="s">
        <v>794</v>
      </c>
      <c r="C111" s="521">
        <v>3.26</v>
      </c>
      <c r="D111" s="489">
        <v>0.15</v>
      </c>
      <c r="E111" s="507">
        <f t="shared" si="6"/>
        <v>0.49</v>
      </c>
      <c r="F111" s="499"/>
      <c r="G111" s="500"/>
      <c r="H111" s="368"/>
      <c r="I111" s="368"/>
      <c r="J111" s="368"/>
      <c r="K111" s="474"/>
      <c r="L111" s="522"/>
    </row>
    <row r="112" spans="1:12" ht="13">
      <c r="A112" s="364"/>
      <c r="B112" s="354" t="s">
        <v>795</v>
      </c>
      <c r="C112" s="521">
        <v>5</v>
      </c>
      <c r="D112" s="489">
        <v>0.15</v>
      </c>
      <c r="E112" s="507">
        <f t="shared" si="6"/>
        <v>0.75</v>
      </c>
      <c r="F112" s="499"/>
      <c r="G112" s="500"/>
      <c r="H112" s="368"/>
      <c r="I112" s="368"/>
      <c r="J112" s="368"/>
      <c r="K112" s="474"/>
      <c r="L112" s="522"/>
    </row>
    <row r="113" spans="1:12" ht="13">
      <c r="A113" s="364"/>
      <c r="B113" s="354" t="s">
        <v>796</v>
      </c>
      <c r="C113" s="521">
        <v>9</v>
      </c>
      <c r="D113" s="489">
        <v>0.15</v>
      </c>
      <c r="E113" s="507">
        <f t="shared" si="6"/>
        <v>1.35</v>
      </c>
      <c r="F113" s="499"/>
      <c r="G113" s="500"/>
      <c r="H113" s="368"/>
      <c r="I113" s="368"/>
      <c r="J113" s="368"/>
      <c r="K113" s="474"/>
      <c r="L113" s="522"/>
    </row>
    <row r="114" spans="1:12" ht="13">
      <c r="A114" s="364"/>
      <c r="B114" s="354" t="s">
        <v>797</v>
      </c>
      <c r="C114" s="521">
        <v>3.38</v>
      </c>
      <c r="D114" s="489">
        <v>0.15</v>
      </c>
      <c r="E114" s="507">
        <f t="shared" si="6"/>
        <v>0.51</v>
      </c>
      <c r="F114" s="499"/>
      <c r="G114" s="500"/>
      <c r="H114" s="368"/>
      <c r="I114" s="368"/>
      <c r="J114" s="368"/>
      <c r="K114" s="474"/>
      <c r="L114" s="522"/>
    </row>
    <row r="115" spans="1:12" ht="13">
      <c r="A115" s="364"/>
      <c r="B115" s="354" t="s">
        <v>798</v>
      </c>
      <c r="C115" s="521">
        <v>10.82</v>
      </c>
      <c r="D115" s="489">
        <v>0.15</v>
      </c>
      <c r="E115" s="507">
        <f t="shared" si="6"/>
        <v>1.62</v>
      </c>
      <c r="F115" s="499"/>
      <c r="G115" s="500"/>
      <c r="H115" s="368"/>
      <c r="I115" s="368"/>
      <c r="J115" s="368"/>
      <c r="K115" s="474"/>
      <c r="L115" s="522"/>
    </row>
    <row r="116" spans="1:12" ht="13">
      <c r="A116" s="364"/>
      <c r="B116" s="354" t="s">
        <v>799</v>
      </c>
      <c r="C116" s="521">
        <v>24.08</v>
      </c>
      <c r="D116" s="489">
        <v>0.15</v>
      </c>
      <c r="E116" s="507">
        <f t="shared" si="6"/>
        <v>3.61</v>
      </c>
      <c r="F116" s="499"/>
      <c r="G116" s="500"/>
      <c r="H116" s="368"/>
      <c r="I116" s="368"/>
      <c r="J116" s="368"/>
      <c r="K116" s="474"/>
      <c r="L116" s="522"/>
    </row>
    <row r="117" spans="1:12" ht="13">
      <c r="A117" s="364"/>
      <c r="B117" s="354" t="s">
        <v>800</v>
      </c>
      <c r="C117" s="521">
        <v>9</v>
      </c>
      <c r="D117" s="489">
        <v>0.15</v>
      </c>
      <c r="E117" s="507">
        <f t="shared" si="6"/>
        <v>1.35</v>
      </c>
      <c r="F117" s="499"/>
      <c r="G117" s="500"/>
      <c r="H117" s="368"/>
      <c r="I117" s="368"/>
      <c r="J117" s="368"/>
      <c r="K117" s="474"/>
      <c r="L117" s="522"/>
    </row>
    <row r="118" spans="1:12" ht="13">
      <c r="A118" s="364"/>
      <c r="B118" s="354" t="s">
        <v>801</v>
      </c>
      <c r="C118" s="521">
        <v>9</v>
      </c>
      <c r="D118" s="489">
        <v>0.15</v>
      </c>
      <c r="E118" s="507">
        <f t="shared" si="6"/>
        <v>1.35</v>
      </c>
      <c r="F118" s="499"/>
      <c r="G118" s="500"/>
      <c r="H118" s="368"/>
      <c r="I118" s="368"/>
      <c r="J118" s="368"/>
      <c r="K118" s="474"/>
      <c r="L118" s="522"/>
    </row>
    <row r="119" spans="1:12" ht="13">
      <c r="A119" s="364"/>
      <c r="B119" s="354" t="s">
        <v>802</v>
      </c>
      <c r="C119" s="521">
        <v>9</v>
      </c>
      <c r="D119" s="489">
        <v>0.15</v>
      </c>
      <c r="E119" s="507">
        <f t="shared" si="6"/>
        <v>1.35</v>
      </c>
      <c r="F119" s="499"/>
      <c r="G119" s="500"/>
      <c r="H119" s="368"/>
      <c r="I119" s="368"/>
      <c r="J119" s="368"/>
      <c r="K119" s="474"/>
      <c r="L119" s="522"/>
    </row>
    <row r="120" spans="1:12" ht="13">
      <c r="A120" s="364"/>
      <c r="B120" s="354" t="s">
        <v>803</v>
      </c>
      <c r="C120" s="521">
        <v>9</v>
      </c>
      <c r="D120" s="489">
        <v>0.15</v>
      </c>
      <c r="E120" s="507">
        <f t="shared" si="6"/>
        <v>1.35</v>
      </c>
      <c r="F120" s="499"/>
      <c r="G120" s="500"/>
      <c r="H120" s="368"/>
      <c r="I120" s="368"/>
      <c r="J120" s="368"/>
      <c r="K120" s="474"/>
      <c r="L120" s="522"/>
    </row>
    <row r="121" spans="1:12" ht="13">
      <c r="A121" s="364"/>
      <c r="B121" s="354" t="s">
        <v>804</v>
      </c>
      <c r="C121" s="521">
        <v>6.40</v>
      </c>
      <c r="D121" s="489">
        <v>0.15</v>
      </c>
      <c r="E121" s="507">
        <f t="shared" si="6"/>
        <v>0.96</v>
      </c>
      <c r="F121" s="499"/>
      <c r="G121" s="500"/>
      <c r="H121" s="368"/>
      <c r="I121" s="368"/>
      <c r="J121" s="368"/>
      <c r="K121" s="474"/>
      <c r="L121" s="522"/>
    </row>
    <row r="122" spans="1:12" ht="13">
      <c r="A122" s="364"/>
      <c r="B122" s="354" t="s">
        <v>805</v>
      </c>
      <c r="C122" s="521">
        <v>23.48</v>
      </c>
      <c r="D122" s="489">
        <v>0.15</v>
      </c>
      <c r="E122" s="507">
        <f t="shared" si="6"/>
        <v>3.52</v>
      </c>
      <c r="F122" s="499"/>
      <c r="G122" s="500"/>
      <c r="H122" s="368"/>
      <c r="I122" s="368"/>
      <c r="J122" s="368"/>
      <c r="K122" s="474"/>
      <c r="L122" s="522"/>
    </row>
    <row r="123" spans="1:12" ht="13">
      <c r="A123" s="364"/>
      <c r="B123" s="354" t="s">
        <v>806</v>
      </c>
      <c r="C123" s="521">
        <v>7.50</v>
      </c>
      <c r="D123" s="489">
        <v>0.15</v>
      </c>
      <c r="E123" s="507">
        <f t="shared" si="6"/>
        <v>1.1299999999999999</v>
      </c>
      <c r="F123" s="499"/>
      <c r="G123" s="500"/>
      <c r="H123" s="368"/>
      <c r="I123" s="368"/>
      <c r="J123" s="368"/>
      <c r="K123" s="474"/>
      <c r="L123" s="522"/>
    </row>
    <row r="124" spans="1:12" ht="13">
      <c r="A124" s="364"/>
      <c r="B124" s="354" t="s">
        <v>807</v>
      </c>
      <c r="C124" s="521">
        <v>7.50</v>
      </c>
      <c r="D124" s="489">
        <v>0.15</v>
      </c>
      <c r="E124" s="507">
        <f t="shared" si="6"/>
        <v>1.1299999999999999</v>
      </c>
      <c r="F124" s="499"/>
      <c r="G124" s="500"/>
      <c r="H124" s="368"/>
      <c r="I124" s="368"/>
      <c r="J124" s="368"/>
      <c r="K124" s="454"/>
      <c r="L124" s="454"/>
    </row>
    <row r="125" spans="1:10" ht="13">
      <c r="A125" s="364"/>
      <c r="B125" s="354" t="s">
        <v>808</v>
      </c>
      <c r="C125" s="521">
        <v>16.170000000000002</v>
      </c>
      <c r="D125" s="489">
        <v>0.15</v>
      </c>
      <c r="E125" s="507">
        <f t="shared" si="6"/>
        <v>2.4300000000000002</v>
      </c>
      <c r="F125" s="499"/>
      <c r="G125" s="500"/>
      <c r="H125" s="368"/>
      <c r="I125" s="368"/>
      <c r="J125" s="368"/>
    </row>
    <row r="126" spans="1:10" ht="13">
      <c r="A126" s="364"/>
      <c r="B126" s="354" t="s">
        <v>809</v>
      </c>
      <c r="C126" s="521">
        <v>9</v>
      </c>
      <c r="D126" s="489">
        <v>0.15</v>
      </c>
      <c r="E126" s="507">
        <f t="shared" si="6"/>
        <v>1.35</v>
      </c>
      <c r="F126" s="499"/>
      <c r="G126" s="500"/>
      <c r="H126" s="368"/>
      <c r="I126" s="368"/>
      <c r="J126" s="368"/>
    </row>
    <row r="127" spans="1:10" ht="13">
      <c r="A127" s="364"/>
      <c r="B127" s="354" t="s">
        <v>810</v>
      </c>
      <c r="C127" s="521">
        <v>9</v>
      </c>
      <c r="D127" s="489">
        <v>0.15</v>
      </c>
      <c r="E127" s="507">
        <f t="shared" si="6"/>
        <v>1.35</v>
      </c>
      <c r="F127" s="499"/>
      <c r="G127" s="500"/>
      <c r="H127" s="368"/>
      <c r="I127" s="368"/>
      <c r="J127" s="368"/>
    </row>
    <row r="128" spans="1:10" ht="13">
      <c r="A128" s="364"/>
      <c r="B128" s="354"/>
      <c r="C128" s="359"/>
      <c r="D128" s="511" t="s">
        <v>311</v>
      </c>
      <c r="E128" s="496">
        <f>SUM(E97:E127)</f>
        <v>40.44</v>
      </c>
      <c r="F128" s="499"/>
      <c r="G128" s="500"/>
      <c r="H128" s="368"/>
      <c r="I128" s="368"/>
      <c r="J128" s="368"/>
    </row>
    <row r="129" spans="1:10" ht="13">
      <c r="A129" s="518"/>
      <c r="B129" s="368"/>
      <c r="C129" s="498"/>
      <c r="D129" s="515"/>
      <c r="E129" s="500"/>
      <c r="F129" s="499"/>
      <c r="G129" s="500"/>
      <c r="H129" s="368"/>
      <c r="I129" s="368"/>
      <c r="J129" s="368"/>
    </row>
    <row r="130" spans="1:10" s="486" customFormat="1" ht="13">
      <c r="A130" s="364" t="s">
        <v>505</v>
      </c>
      <c r="B130" s="430" t="s">
        <v>506</v>
      </c>
      <c r="C130" s="430"/>
      <c r="D130" s="430"/>
      <c r="E130" s="430"/>
      <c r="F130" s="430"/>
      <c r="G130" s="430"/>
      <c r="H130" s="430"/>
      <c r="I130" s="430"/>
      <c r="J130" s="430"/>
    </row>
    <row r="131" spans="1:10" ht="13">
      <c r="A131" s="497"/>
      <c r="B131" s="468"/>
      <c r="C131" s="468"/>
      <c r="D131" s="468"/>
      <c r="E131" s="468"/>
      <c r="F131" s="468"/>
      <c r="G131" s="523"/>
      <c r="H131" s="368"/>
      <c r="I131" s="368"/>
      <c r="J131" s="368"/>
    </row>
    <row r="132" spans="1:10" s="486" customFormat="1" ht="12.75" customHeight="1">
      <c r="A132" s="364" t="s">
        <v>507</v>
      </c>
      <c r="B132" s="438" t="s">
        <v>508</v>
      </c>
      <c r="C132" s="439"/>
      <c r="D132" s="439"/>
      <c r="E132" s="439"/>
      <c r="F132" s="440"/>
      <c r="G132" s="501"/>
      <c r="H132" s="368"/>
      <c r="I132" s="368"/>
      <c r="J132" s="368"/>
    </row>
    <row r="133" spans="1:10" s="488" customFormat="1" ht="13">
      <c r="A133" s="364"/>
      <c r="B133" s="524" t="s">
        <v>811</v>
      </c>
      <c r="C133" s="525" t="s">
        <v>739</v>
      </c>
      <c r="D133" s="525" t="s">
        <v>308</v>
      </c>
      <c r="E133" s="345" t="s">
        <v>745</v>
      </c>
      <c r="F133" s="364" t="s">
        <v>309</v>
      </c>
      <c r="G133" s="476"/>
      <c r="H133" s="409"/>
      <c r="I133" s="409"/>
      <c r="J133" s="409"/>
    </row>
    <row r="134" spans="1:10" s="486" customFormat="1" ht="13">
      <c r="A134" s="364"/>
      <c r="B134" s="462" t="s">
        <v>748</v>
      </c>
      <c r="C134" s="489">
        <f>1</f>
        <v>1</v>
      </c>
      <c r="D134" s="489">
        <f>1</f>
        <v>1</v>
      </c>
      <c r="E134" s="490">
        <v>20</v>
      </c>
      <c r="F134" s="435">
        <f t="shared" si="7" ref="F134:F157">C134*D134*E134</f>
        <v>20</v>
      </c>
      <c r="G134" s="526"/>
      <c r="H134" s="368"/>
      <c r="I134" s="368"/>
      <c r="J134" s="368"/>
    </row>
    <row r="135" spans="1:10" s="486" customFormat="1" ht="13">
      <c r="A135" s="364"/>
      <c r="B135" s="492" t="s">
        <v>749</v>
      </c>
      <c r="C135" s="434">
        <f>15.74</f>
        <v>15.74</v>
      </c>
      <c r="D135" s="527">
        <f>0.12</f>
        <v>0.12</v>
      </c>
      <c r="E135" s="493">
        <v>1</v>
      </c>
      <c r="F135" s="435">
        <f>C135*D135*E135</f>
        <v>1.89</v>
      </c>
      <c r="G135" s="526"/>
      <c r="H135" s="368"/>
      <c r="I135" s="368"/>
      <c r="J135" s="368"/>
    </row>
    <row r="136" spans="1:10" s="486" customFormat="1" ht="13">
      <c r="A136" s="364"/>
      <c r="B136" s="492" t="s">
        <v>750</v>
      </c>
      <c r="C136" s="434">
        <v>12.64</v>
      </c>
      <c r="D136" s="527">
        <f t="shared" si="8" ref="D136:D157">0.12</f>
        <v>0.12</v>
      </c>
      <c r="E136" s="493">
        <v>1</v>
      </c>
      <c r="F136" s="435">
        <f>C136*D136*E136</f>
        <v>1.52</v>
      </c>
      <c r="G136" s="526"/>
      <c r="H136" s="368"/>
      <c r="I136" s="368"/>
      <c r="J136" s="368"/>
    </row>
    <row r="137" spans="1:10" s="486" customFormat="1" ht="13">
      <c r="A137" s="364"/>
      <c r="B137" s="492" t="s">
        <v>751</v>
      </c>
      <c r="C137" s="434">
        <v>4.24</v>
      </c>
      <c r="D137" s="527">
        <f t="shared" si="8"/>
        <v>0.12</v>
      </c>
      <c r="E137" s="493">
        <v>6</v>
      </c>
      <c r="F137" s="435">
        <f t="shared" si="7"/>
        <v>3.05</v>
      </c>
      <c r="G137" s="526"/>
      <c r="H137" s="368"/>
      <c r="I137" s="368"/>
      <c r="J137" s="368"/>
    </row>
    <row r="138" spans="1:10" s="486" customFormat="1" ht="13">
      <c r="A138" s="364"/>
      <c r="B138" s="492" t="s">
        <v>752</v>
      </c>
      <c r="C138" s="434">
        <v>6.90</v>
      </c>
      <c r="D138" s="527">
        <f t="shared" si="8"/>
        <v>0.12</v>
      </c>
      <c r="E138" s="493">
        <v>1</v>
      </c>
      <c r="F138" s="435">
        <f t="shared" si="7"/>
        <v>0.83</v>
      </c>
      <c r="G138" s="526"/>
      <c r="H138" s="368"/>
      <c r="I138" s="368"/>
      <c r="J138" s="368"/>
    </row>
    <row r="139" spans="1:10" s="486" customFormat="1" ht="13">
      <c r="A139" s="364"/>
      <c r="B139" s="492" t="s">
        <v>753</v>
      </c>
      <c r="C139" s="434">
        <v>10</v>
      </c>
      <c r="D139" s="527">
        <f t="shared" si="8"/>
        <v>0.12</v>
      </c>
      <c r="E139" s="493">
        <v>1</v>
      </c>
      <c r="F139" s="435">
        <f>C139*D139*E139</f>
        <v>1.20</v>
      </c>
      <c r="G139" s="526"/>
      <c r="H139" s="368"/>
      <c r="I139" s="368"/>
      <c r="J139" s="368"/>
    </row>
    <row r="140" spans="1:10" s="486" customFormat="1" ht="13">
      <c r="A140" s="364"/>
      <c r="B140" s="492" t="s">
        <v>754</v>
      </c>
      <c r="C140" s="434">
        <v>3.50</v>
      </c>
      <c r="D140" s="527">
        <f t="shared" si="8"/>
        <v>0.12</v>
      </c>
      <c r="E140" s="493">
        <v>5</v>
      </c>
      <c r="F140" s="435">
        <f t="shared" si="7"/>
        <v>2.10</v>
      </c>
      <c r="G140" s="526"/>
      <c r="H140" s="368"/>
      <c r="I140" s="368"/>
      <c r="J140" s="368"/>
    </row>
    <row r="141" spans="1:10" s="486" customFormat="1" ht="13">
      <c r="A141" s="364"/>
      <c r="B141" s="492" t="s">
        <v>755</v>
      </c>
      <c r="C141" s="434">
        <v>4.80</v>
      </c>
      <c r="D141" s="527">
        <f t="shared" si="8"/>
        <v>0.12</v>
      </c>
      <c r="E141" s="493">
        <v>2</v>
      </c>
      <c r="F141" s="435">
        <f t="shared" si="7"/>
        <v>1.1499999999999999</v>
      </c>
      <c r="G141" s="526"/>
      <c r="H141" s="368"/>
      <c r="I141" s="368"/>
      <c r="J141" s="368"/>
    </row>
    <row r="142" spans="1:10" s="486" customFormat="1" ht="13">
      <c r="A142" s="364"/>
      <c r="B142" s="492" t="s">
        <v>756</v>
      </c>
      <c r="C142" s="434">
        <v>2.4700000000000002</v>
      </c>
      <c r="D142" s="527">
        <f t="shared" si="8"/>
        <v>0.12</v>
      </c>
      <c r="E142" s="493">
        <v>2</v>
      </c>
      <c r="F142" s="435">
        <f t="shared" si="7"/>
        <v>0.59</v>
      </c>
      <c r="G142" s="526"/>
      <c r="H142" s="368"/>
      <c r="I142" s="368"/>
      <c r="J142" s="368"/>
    </row>
    <row r="143" spans="1:10" s="486" customFormat="1" ht="13">
      <c r="A143" s="364"/>
      <c r="B143" s="492" t="s">
        <v>757</v>
      </c>
      <c r="C143" s="434">
        <v>2.0499999999999998</v>
      </c>
      <c r="D143" s="527">
        <f t="shared" si="8"/>
        <v>0.12</v>
      </c>
      <c r="E143" s="493">
        <v>2</v>
      </c>
      <c r="F143" s="435">
        <f t="shared" si="7"/>
        <v>0.49</v>
      </c>
      <c r="G143" s="526"/>
      <c r="H143" s="368"/>
      <c r="I143" s="368"/>
      <c r="J143" s="368"/>
    </row>
    <row r="144" spans="1:10" s="486" customFormat="1" ht="13">
      <c r="A144" s="364"/>
      <c r="B144" s="492" t="s">
        <v>758</v>
      </c>
      <c r="C144" s="434">
        <v>3.12</v>
      </c>
      <c r="D144" s="527">
        <f t="shared" si="8"/>
        <v>0.12</v>
      </c>
      <c r="E144" s="493">
        <v>1</v>
      </c>
      <c r="F144" s="435">
        <f>C144*D144*E144</f>
        <v>0.37</v>
      </c>
      <c r="G144" s="526"/>
      <c r="H144" s="368"/>
      <c r="I144" s="368"/>
      <c r="J144" s="368"/>
    </row>
    <row r="145" spans="1:10" s="486" customFormat="1" ht="13">
      <c r="A145" s="364"/>
      <c r="B145" s="492" t="s">
        <v>759</v>
      </c>
      <c r="C145" s="434">
        <v>1.74</v>
      </c>
      <c r="D145" s="527">
        <f t="shared" si="8"/>
        <v>0.12</v>
      </c>
      <c r="E145" s="493">
        <v>2</v>
      </c>
      <c r="F145" s="435">
        <f t="shared" si="7"/>
        <v>0.42</v>
      </c>
      <c r="G145" s="526"/>
      <c r="H145" s="368"/>
      <c r="I145" s="368"/>
      <c r="J145" s="368"/>
    </row>
    <row r="146" spans="1:10" s="486" customFormat="1" ht="13">
      <c r="A146" s="364"/>
      <c r="B146" s="492" t="s">
        <v>760</v>
      </c>
      <c r="C146" s="434">
        <v>9.24</v>
      </c>
      <c r="D146" s="527">
        <f t="shared" si="8"/>
        <v>0.12</v>
      </c>
      <c r="E146" s="493">
        <v>1</v>
      </c>
      <c r="F146" s="435">
        <f t="shared" si="7"/>
        <v>1.1100000000000001</v>
      </c>
      <c r="G146" s="526"/>
      <c r="H146" s="368"/>
      <c r="I146" s="368"/>
      <c r="J146" s="368"/>
    </row>
    <row r="147" spans="1:10" s="486" customFormat="1" ht="13">
      <c r="A147" s="364"/>
      <c r="B147" s="492" t="s">
        <v>761</v>
      </c>
      <c r="C147" s="434">
        <v>29.67</v>
      </c>
      <c r="D147" s="527">
        <f t="shared" si="8"/>
        <v>0.12</v>
      </c>
      <c r="E147" s="493">
        <v>1</v>
      </c>
      <c r="F147" s="435">
        <f t="shared" si="7"/>
        <v>3.56</v>
      </c>
      <c r="G147" s="526"/>
      <c r="H147" s="368"/>
      <c r="I147" s="368"/>
      <c r="J147" s="368"/>
    </row>
    <row r="148" spans="1:10" s="486" customFormat="1" ht="13">
      <c r="A148" s="364"/>
      <c r="B148" s="492" t="s">
        <v>762</v>
      </c>
      <c r="C148" s="434">
        <v>3.24</v>
      </c>
      <c r="D148" s="527">
        <f t="shared" si="8"/>
        <v>0.12</v>
      </c>
      <c r="E148" s="493">
        <v>6</v>
      </c>
      <c r="F148" s="435">
        <f t="shared" si="7"/>
        <v>2.33</v>
      </c>
      <c r="G148" s="526"/>
      <c r="H148" s="368"/>
      <c r="I148" s="368"/>
      <c r="J148" s="368"/>
    </row>
    <row r="149" spans="1:10" s="486" customFormat="1" ht="13">
      <c r="A149" s="364"/>
      <c r="B149" s="492" t="s">
        <v>763</v>
      </c>
      <c r="C149" s="434">
        <v>6.96</v>
      </c>
      <c r="D149" s="527">
        <f t="shared" si="8"/>
        <v>0.12</v>
      </c>
      <c r="E149" s="493">
        <v>2</v>
      </c>
      <c r="F149" s="435">
        <f t="shared" si="7"/>
        <v>1.67</v>
      </c>
      <c r="G149" s="526"/>
      <c r="H149" s="368"/>
      <c r="I149" s="368"/>
      <c r="J149" s="368"/>
    </row>
    <row r="150" spans="1:10" s="486" customFormat="1" ht="13">
      <c r="A150" s="364"/>
      <c r="B150" s="492" t="s">
        <v>764</v>
      </c>
      <c r="C150" s="434">
        <v>6.06</v>
      </c>
      <c r="D150" s="527">
        <f t="shared" si="8"/>
        <v>0.12</v>
      </c>
      <c r="E150" s="493">
        <v>1</v>
      </c>
      <c r="F150" s="435">
        <f t="shared" si="7"/>
        <v>0.73</v>
      </c>
      <c r="G150" s="526"/>
      <c r="H150" s="368"/>
      <c r="I150" s="368"/>
      <c r="J150" s="368"/>
    </row>
    <row r="151" spans="1:10" s="486" customFormat="1" ht="13">
      <c r="A151" s="364"/>
      <c r="B151" s="492" t="s">
        <v>765</v>
      </c>
      <c r="C151" s="434">
        <v>7.56</v>
      </c>
      <c r="D151" s="527">
        <f t="shared" si="8"/>
        <v>0.12</v>
      </c>
      <c r="E151" s="493">
        <v>1</v>
      </c>
      <c r="F151" s="435">
        <f t="shared" si="7"/>
        <v>0.91</v>
      </c>
      <c r="G151" s="526"/>
      <c r="H151" s="368"/>
      <c r="I151" s="368"/>
      <c r="J151" s="368"/>
    </row>
    <row r="152" spans="1:10" s="486" customFormat="1" ht="13">
      <c r="A152" s="364"/>
      <c r="B152" s="492" t="s">
        <v>766</v>
      </c>
      <c r="C152" s="434">
        <v>4.96</v>
      </c>
      <c r="D152" s="527">
        <f t="shared" si="8"/>
        <v>0.12</v>
      </c>
      <c r="E152" s="493">
        <v>1</v>
      </c>
      <c r="F152" s="435">
        <f t="shared" si="7"/>
        <v>0.60</v>
      </c>
      <c r="G152" s="526"/>
      <c r="H152" s="368"/>
      <c r="I152" s="368"/>
      <c r="J152" s="368"/>
    </row>
    <row r="153" spans="1:10" s="486" customFormat="1" ht="13">
      <c r="A153" s="364"/>
      <c r="B153" s="492" t="s">
        <v>767</v>
      </c>
      <c r="C153" s="434">
        <v>2.02</v>
      </c>
      <c r="D153" s="527">
        <f t="shared" si="8"/>
        <v>0.12</v>
      </c>
      <c r="E153" s="493">
        <v>2</v>
      </c>
      <c r="F153" s="435">
        <f t="shared" si="7"/>
        <v>0.48</v>
      </c>
      <c r="G153" s="526"/>
      <c r="H153" s="368"/>
      <c r="I153" s="368"/>
      <c r="J153" s="368"/>
    </row>
    <row r="154" spans="1:10" s="486" customFormat="1" ht="13">
      <c r="A154" s="364"/>
      <c r="B154" s="492" t="s">
        <v>768</v>
      </c>
      <c r="C154" s="434">
        <v>3</v>
      </c>
      <c r="D154" s="527">
        <f t="shared" si="8"/>
        <v>0.12</v>
      </c>
      <c r="E154" s="493">
        <v>2</v>
      </c>
      <c r="F154" s="435">
        <f t="shared" si="7"/>
        <v>0.72</v>
      </c>
      <c r="G154" s="526"/>
      <c r="H154" s="368"/>
      <c r="I154" s="368"/>
      <c r="J154" s="368"/>
    </row>
    <row r="155" spans="1:10" s="486" customFormat="1" ht="13">
      <c r="A155" s="364"/>
      <c r="B155" s="492" t="s">
        <v>769</v>
      </c>
      <c r="C155" s="434">
        <v>12.42</v>
      </c>
      <c r="D155" s="527">
        <f t="shared" si="8"/>
        <v>0.12</v>
      </c>
      <c r="E155" s="493">
        <v>1</v>
      </c>
      <c r="F155" s="435">
        <f t="shared" si="7"/>
        <v>1.49</v>
      </c>
      <c r="G155" s="526"/>
      <c r="H155" s="368"/>
      <c r="I155" s="368"/>
      <c r="J155" s="368"/>
    </row>
    <row r="156" spans="1:10" s="486" customFormat="1" ht="13">
      <c r="A156" s="364"/>
      <c r="B156" s="492" t="s">
        <v>770</v>
      </c>
      <c r="C156" s="434">
        <v>13.71</v>
      </c>
      <c r="D156" s="527">
        <f t="shared" si="8"/>
        <v>0.12</v>
      </c>
      <c r="E156" s="493">
        <v>2</v>
      </c>
      <c r="F156" s="435">
        <f t="shared" si="7"/>
        <v>3.29</v>
      </c>
      <c r="G156" s="526"/>
      <c r="H156" s="368"/>
      <c r="I156" s="368"/>
      <c r="J156" s="368"/>
    </row>
    <row r="157" spans="1:10" s="486" customFormat="1" ht="13">
      <c r="A157" s="364"/>
      <c r="B157" s="492" t="s">
        <v>771</v>
      </c>
      <c r="C157" s="434">
        <v>1.1200000000000001</v>
      </c>
      <c r="D157" s="527">
        <f t="shared" si="8"/>
        <v>0.12</v>
      </c>
      <c r="E157" s="493">
        <v>1</v>
      </c>
      <c r="F157" s="435">
        <f t="shared" si="7"/>
        <v>0.13</v>
      </c>
      <c r="G157" s="526"/>
      <c r="H157" s="368"/>
      <c r="I157" s="368"/>
      <c r="J157" s="368"/>
    </row>
    <row r="158" spans="1:10" s="486" customFormat="1" ht="13">
      <c r="A158" s="364"/>
      <c r="B158" s="528"/>
      <c r="C158" s="529"/>
      <c r="D158" s="436"/>
      <c r="E158" s="441" t="s">
        <v>311</v>
      </c>
      <c r="F158" s="437">
        <f>SUM(F134:F157)</f>
        <v>50.63</v>
      </c>
      <c r="G158" s="530"/>
      <c r="H158" s="368"/>
      <c r="I158" s="368"/>
      <c r="J158" s="368"/>
    </row>
    <row r="159" spans="1:10" s="486" customFormat="1" ht="13">
      <c r="A159" s="497"/>
      <c r="B159" s="469"/>
      <c r="C159" s="473"/>
      <c r="D159" s="531"/>
      <c r="E159" s="531"/>
      <c r="F159" s="532"/>
      <c r="G159" s="533"/>
      <c r="H159" s="368"/>
      <c r="I159" s="368"/>
      <c r="J159" s="368"/>
    </row>
    <row r="160" spans="1:10" s="368" customFormat="1" ht="25.5" customHeight="1">
      <c r="A160" s="350" t="str">
        <f>medição!A35</f>
        <v>5.2</v>
      </c>
      <c r="B160" s="438" t="str">
        <f>medição!B35</f>
        <v xml:space="preserve"> COMPOSIÇÃO PARAMÉTRICA PARA EXECUÇÃO DE ESTRUTURAS DE CONCRETO ARMADO CONVENCIONAL, PARA EDIFICAÇÃO HABITACIONAL MULTIFAMILIAR (PRÉDIO), ATÉ 4 PAVIMENTOS, FCK = 25 MPA. AF_11/2022</v>
      </c>
      <c r="C160" s="439"/>
      <c r="D160" s="439"/>
      <c r="E160" s="439"/>
      <c r="F160" s="439"/>
      <c r="G160" s="439"/>
      <c r="H160" s="439"/>
      <c r="I160" s="439"/>
      <c r="J160" s="440"/>
    </row>
    <row r="161" spans="1:10" s="368" customFormat="1" ht="13">
      <c r="A161" s="432"/>
      <c r="B161" s="534" t="s">
        <v>306</v>
      </c>
      <c r="C161" s="534" t="s">
        <v>739</v>
      </c>
      <c r="D161" s="534" t="s">
        <v>308</v>
      </c>
      <c r="E161" s="534" t="s">
        <v>740</v>
      </c>
      <c r="F161" s="534" t="s">
        <v>745</v>
      </c>
      <c r="G161" s="534" t="s">
        <v>309</v>
      </c>
      <c r="H161" s="535"/>
      <c r="I161" s="535"/>
      <c r="J161" s="536"/>
    </row>
    <row r="162" spans="1:10" s="368" customFormat="1" ht="13">
      <c r="A162" s="432"/>
      <c r="B162" s="537" t="s">
        <v>746</v>
      </c>
      <c r="C162" s="534"/>
      <c r="D162" s="534"/>
      <c r="E162" s="534"/>
      <c r="F162" s="534"/>
      <c r="G162" s="534"/>
      <c r="H162" s="535"/>
      <c r="I162" s="535"/>
      <c r="J162" s="536"/>
    </row>
    <row r="163" spans="1:10" s="368" customFormat="1" ht="13">
      <c r="A163" s="432"/>
      <c r="B163" s="88" t="s">
        <v>812</v>
      </c>
      <c r="C163" s="489">
        <v>1</v>
      </c>
      <c r="D163" s="538">
        <v>1</v>
      </c>
      <c r="E163" s="538">
        <v>0.25</v>
      </c>
      <c r="F163" s="493">
        <v>20</v>
      </c>
      <c r="G163" s="539">
        <f>(C163*D163*E163*F163)</f>
        <v>5</v>
      </c>
      <c r="H163" s="535"/>
      <c r="I163" s="535"/>
      <c r="J163" s="536"/>
    </row>
    <row r="164" spans="1:10" s="368" customFormat="1" ht="13">
      <c r="A164" s="432"/>
      <c r="B164" s="492" t="s">
        <v>749</v>
      </c>
      <c r="C164" s="434">
        <f>15.74</f>
        <v>15.74</v>
      </c>
      <c r="D164" s="538">
        <v>0.12</v>
      </c>
      <c r="E164" s="538">
        <v>0.25</v>
      </c>
      <c r="F164" s="493">
        <v>1</v>
      </c>
      <c r="G164" s="539">
        <f>(C164*D164*E164*F164)</f>
        <v>0.47</v>
      </c>
      <c r="H164" s="535"/>
      <c r="I164" s="535"/>
      <c r="J164" s="536"/>
    </row>
    <row r="165" spans="1:10" s="368" customFormat="1" ht="13">
      <c r="A165" s="432"/>
      <c r="B165" s="492" t="s">
        <v>750</v>
      </c>
      <c r="C165" s="434">
        <v>12.64</v>
      </c>
      <c r="D165" s="538">
        <v>0.12</v>
      </c>
      <c r="E165" s="538">
        <v>0.25</v>
      </c>
      <c r="F165" s="493">
        <v>1</v>
      </c>
      <c r="G165" s="539">
        <f>(C165*D165*E165*F165)</f>
        <v>0.38</v>
      </c>
      <c r="H165" s="535"/>
      <c r="I165" s="535"/>
      <c r="J165" s="536"/>
    </row>
    <row r="166" spans="1:10" s="368" customFormat="1" ht="13">
      <c r="A166" s="432"/>
      <c r="B166" s="492" t="s">
        <v>751</v>
      </c>
      <c r="C166" s="434">
        <v>4.24</v>
      </c>
      <c r="D166" s="538">
        <v>0.12</v>
      </c>
      <c r="E166" s="538">
        <v>0.25</v>
      </c>
      <c r="F166" s="493">
        <v>6</v>
      </c>
      <c r="G166" s="539">
        <f>(C166*D166*E166*F166)</f>
        <v>0.76</v>
      </c>
      <c r="H166" s="535"/>
      <c r="I166" s="535"/>
      <c r="J166" s="536"/>
    </row>
    <row r="167" spans="1:10" s="368" customFormat="1" ht="13">
      <c r="A167" s="432"/>
      <c r="B167" s="492" t="s">
        <v>752</v>
      </c>
      <c r="C167" s="434">
        <v>6.90</v>
      </c>
      <c r="D167" s="538">
        <v>0.12</v>
      </c>
      <c r="E167" s="538">
        <v>0.25</v>
      </c>
      <c r="F167" s="493">
        <v>1</v>
      </c>
      <c r="G167" s="539">
        <f>(C167*D167*E167*F167)</f>
        <v>0.21</v>
      </c>
      <c r="H167" s="535"/>
      <c r="I167" s="535"/>
      <c r="J167" s="536"/>
    </row>
    <row r="168" spans="1:10" s="368" customFormat="1" ht="13">
      <c r="A168" s="432"/>
      <c r="B168" s="492" t="s">
        <v>753</v>
      </c>
      <c r="C168" s="434">
        <v>10</v>
      </c>
      <c r="D168" s="538">
        <v>0.12</v>
      </c>
      <c r="E168" s="538">
        <v>0.25</v>
      </c>
      <c r="F168" s="493">
        <v>1</v>
      </c>
      <c r="G168" s="539">
        <f t="shared" si="9" ref="G168:G186">(C168*D168*E168*F168)</f>
        <v>0.30</v>
      </c>
      <c r="H168" s="535"/>
      <c r="I168" s="535"/>
      <c r="J168" s="536"/>
    </row>
    <row r="169" spans="1:10" s="368" customFormat="1" ht="13">
      <c r="A169" s="432"/>
      <c r="B169" s="492" t="s">
        <v>754</v>
      </c>
      <c r="C169" s="434">
        <v>3.50</v>
      </c>
      <c r="D169" s="538">
        <v>0.12</v>
      </c>
      <c r="E169" s="538">
        <v>0.25</v>
      </c>
      <c r="F169" s="493">
        <v>5</v>
      </c>
      <c r="G169" s="539">
        <f t="shared" si="9"/>
        <v>0.53</v>
      </c>
      <c r="H169" s="535"/>
      <c r="I169" s="535"/>
      <c r="J169" s="536"/>
    </row>
    <row r="170" spans="1:10" s="368" customFormat="1" ht="13">
      <c r="A170" s="432"/>
      <c r="B170" s="492" t="s">
        <v>755</v>
      </c>
      <c r="C170" s="434">
        <v>4.80</v>
      </c>
      <c r="D170" s="538">
        <v>0.12</v>
      </c>
      <c r="E170" s="538">
        <v>0.25</v>
      </c>
      <c r="F170" s="493">
        <v>2</v>
      </c>
      <c r="G170" s="539">
        <f t="shared" si="9"/>
        <v>0.28999999999999998</v>
      </c>
      <c r="H170" s="535"/>
      <c r="I170" s="535"/>
      <c r="J170" s="536"/>
    </row>
    <row r="171" spans="1:10" s="368" customFormat="1" ht="13">
      <c r="A171" s="432"/>
      <c r="B171" s="492" t="s">
        <v>756</v>
      </c>
      <c r="C171" s="434">
        <v>2.4700000000000002</v>
      </c>
      <c r="D171" s="538">
        <v>0.12</v>
      </c>
      <c r="E171" s="538">
        <v>0.25</v>
      </c>
      <c r="F171" s="493">
        <v>2</v>
      </c>
      <c r="G171" s="539">
        <f t="shared" si="9"/>
        <v>0.15</v>
      </c>
      <c r="H171" s="535"/>
      <c r="I171" s="535"/>
      <c r="J171" s="536"/>
    </row>
    <row r="172" spans="1:10" s="368" customFormat="1" ht="13">
      <c r="A172" s="432"/>
      <c r="B172" s="492" t="s">
        <v>757</v>
      </c>
      <c r="C172" s="434">
        <v>2.0499999999999998</v>
      </c>
      <c r="D172" s="538">
        <v>0.12</v>
      </c>
      <c r="E172" s="538">
        <v>0.25</v>
      </c>
      <c r="F172" s="493">
        <v>2</v>
      </c>
      <c r="G172" s="539">
        <f t="shared" si="9"/>
        <v>0.12</v>
      </c>
      <c r="H172" s="535"/>
      <c r="I172" s="535"/>
      <c r="J172" s="536"/>
    </row>
    <row r="173" spans="1:10" s="368" customFormat="1" ht="13">
      <c r="A173" s="432"/>
      <c r="B173" s="492" t="s">
        <v>758</v>
      </c>
      <c r="C173" s="434">
        <v>3.12</v>
      </c>
      <c r="D173" s="538">
        <v>0.12</v>
      </c>
      <c r="E173" s="538">
        <v>0.25</v>
      </c>
      <c r="F173" s="493">
        <v>1</v>
      </c>
      <c r="G173" s="539">
        <f t="shared" si="9"/>
        <v>0.09</v>
      </c>
      <c r="H173" s="535"/>
      <c r="I173" s="535"/>
      <c r="J173" s="536"/>
    </row>
    <row r="174" spans="1:10" s="368" customFormat="1" ht="13">
      <c r="A174" s="432"/>
      <c r="B174" s="492" t="s">
        <v>759</v>
      </c>
      <c r="C174" s="434">
        <v>1.74</v>
      </c>
      <c r="D174" s="538">
        <v>0.12</v>
      </c>
      <c r="E174" s="538">
        <v>0.25</v>
      </c>
      <c r="F174" s="493">
        <v>2</v>
      </c>
      <c r="G174" s="539">
        <f t="shared" si="9"/>
        <v>0.10</v>
      </c>
      <c r="H174" s="535"/>
      <c r="I174" s="535"/>
      <c r="J174" s="536"/>
    </row>
    <row r="175" spans="1:10" s="368" customFormat="1" ht="13">
      <c r="A175" s="432"/>
      <c r="B175" s="492" t="s">
        <v>760</v>
      </c>
      <c r="C175" s="434">
        <v>9.24</v>
      </c>
      <c r="D175" s="538">
        <v>0.12</v>
      </c>
      <c r="E175" s="538">
        <v>0.25</v>
      </c>
      <c r="F175" s="493">
        <v>1</v>
      </c>
      <c r="G175" s="539">
        <f t="shared" si="9"/>
        <v>0.28000000000000003</v>
      </c>
      <c r="H175" s="535"/>
      <c r="I175" s="535"/>
      <c r="J175" s="536"/>
    </row>
    <row r="176" spans="1:10" s="368" customFormat="1" ht="13">
      <c r="A176" s="432"/>
      <c r="B176" s="492" t="s">
        <v>761</v>
      </c>
      <c r="C176" s="434">
        <v>29.67</v>
      </c>
      <c r="D176" s="538">
        <v>0.12</v>
      </c>
      <c r="E176" s="538">
        <v>0.25</v>
      </c>
      <c r="F176" s="493">
        <v>1</v>
      </c>
      <c r="G176" s="539">
        <f t="shared" si="9"/>
        <v>0.89</v>
      </c>
      <c r="H176" s="535"/>
      <c r="I176" s="535"/>
      <c r="J176" s="536"/>
    </row>
    <row r="177" spans="1:10" s="368" customFormat="1" ht="13">
      <c r="A177" s="432"/>
      <c r="B177" s="492" t="s">
        <v>762</v>
      </c>
      <c r="C177" s="434">
        <v>3.24</v>
      </c>
      <c r="D177" s="538">
        <v>0.12</v>
      </c>
      <c r="E177" s="538">
        <v>0.25</v>
      </c>
      <c r="F177" s="493">
        <v>6</v>
      </c>
      <c r="G177" s="539">
        <f t="shared" si="9"/>
        <v>0.57999999999999996</v>
      </c>
      <c r="H177" s="535"/>
      <c r="I177" s="535"/>
      <c r="J177" s="536"/>
    </row>
    <row r="178" spans="1:10" s="368" customFormat="1" ht="13">
      <c r="A178" s="432"/>
      <c r="B178" s="492" t="s">
        <v>763</v>
      </c>
      <c r="C178" s="434">
        <v>6.96</v>
      </c>
      <c r="D178" s="538">
        <v>0.12</v>
      </c>
      <c r="E178" s="538">
        <v>0.25</v>
      </c>
      <c r="F178" s="493">
        <v>2</v>
      </c>
      <c r="G178" s="539">
        <f t="shared" si="9"/>
        <v>0.42</v>
      </c>
      <c r="H178" s="535"/>
      <c r="I178" s="535"/>
      <c r="J178" s="536"/>
    </row>
    <row r="179" spans="1:10" s="368" customFormat="1" ht="13">
      <c r="A179" s="432"/>
      <c r="B179" s="492" t="s">
        <v>764</v>
      </c>
      <c r="C179" s="434">
        <v>6.06</v>
      </c>
      <c r="D179" s="538">
        <v>0.12</v>
      </c>
      <c r="E179" s="538">
        <v>0.25</v>
      </c>
      <c r="F179" s="493">
        <v>1</v>
      </c>
      <c r="G179" s="539">
        <f t="shared" si="9"/>
        <v>0.18</v>
      </c>
      <c r="H179" s="535"/>
      <c r="I179" s="535"/>
      <c r="J179" s="536"/>
    </row>
    <row r="180" spans="1:10" s="368" customFormat="1" ht="13">
      <c r="A180" s="432"/>
      <c r="B180" s="492" t="s">
        <v>765</v>
      </c>
      <c r="C180" s="434">
        <v>7.56</v>
      </c>
      <c r="D180" s="538">
        <v>0.12</v>
      </c>
      <c r="E180" s="538">
        <v>0.25</v>
      </c>
      <c r="F180" s="493">
        <v>1</v>
      </c>
      <c r="G180" s="539">
        <f t="shared" si="9"/>
        <v>0.23</v>
      </c>
      <c r="H180" s="535"/>
      <c r="I180" s="535"/>
      <c r="J180" s="536"/>
    </row>
    <row r="181" spans="1:10" s="368" customFormat="1" ht="13">
      <c r="A181" s="432"/>
      <c r="B181" s="492" t="s">
        <v>766</v>
      </c>
      <c r="C181" s="434">
        <v>4.96</v>
      </c>
      <c r="D181" s="538">
        <v>0.12</v>
      </c>
      <c r="E181" s="538">
        <v>0.25</v>
      </c>
      <c r="F181" s="493">
        <v>1</v>
      </c>
      <c r="G181" s="539">
        <f t="shared" si="9"/>
        <v>0.15</v>
      </c>
      <c r="H181" s="535"/>
      <c r="I181" s="535"/>
      <c r="J181" s="536"/>
    </row>
    <row r="182" spans="1:10" s="368" customFormat="1" ht="13">
      <c r="A182" s="432"/>
      <c r="B182" s="492" t="s">
        <v>767</v>
      </c>
      <c r="C182" s="434">
        <v>2.02</v>
      </c>
      <c r="D182" s="538">
        <v>0.12</v>
      </c>
      <c r="E182" s="538">
        <v>0.25</v>
      </c>
      <c r="F182" s="493">
        <v>2</v>
      </c>
      <c r="G182" s="539">
        <f t="shared" si="9"/>
        <v>0.12</v>
      </c>
      <c r="H182" s="535"/>
      <c r="I182" s="535"/>
      <c r="J182" s="536"/>
    </row>
    <row r="183" spans="1:10" s="368" customFormat="1" ht="13">
      <c r="A183" s="432"/>
      <c r="B183" s="492" t="s">
        <v>768</v>
      </c>
      <c r="C183" s="434">
        <v>3</v>
      </c>
      <c r="D183" s="538">
        <v>0.12</v>
      </c>
      <c r="E183" s="538">
        <v>0.25</v>
      </c>
      <c r="F183" s="493">
        <v>2</v>
      </c>
      <c r="G183" s="539">
        <f t="shared" si="9"/>
        <v>0.18</v>
      </c>
      <c r="H183" s="535"/>
      <c r="I183" s="535"/>
      <c r="J183" s="536"/>
    </row>
    <row r="184" spans="1:10" s="368" customFormat="1" ht="13">
      <c r="A184" s="432"/>
      <c r="B184" s="492" t="s">
        <v>769</v>
      </c>
      <c r="C184" s="434">
        <v>12.42</v>
      </c>
      <c r="D184" s="538">
        <v>0.12</v>
      </c>
      <c r="E184" s="538">
        <v>0.25</v>
      </c>
      <c r="F184" s="493">
        <v>1</v>
      </c>
      <c r="G184" s="539">
        <f t="shared" si="9"/>
        <v>0.37</v>
      </c>
      <c r="H184" s="535"/>
      <c r="I184" s="535"/>
      <c r="J184" s="536"/>
    </row>
    <row r="185" spans="1:10" s="368" customFormat="1" ht="13">
      <c r="A185" s="432"/>
      <c r="B185" s="492" t="s">
        <v>770</v>
      </c>
      <c r="C185" s="434">
        <v>13.71</v>
      </c>
      <c r="D185" s="538">
        <v>0.12</v>
      </c>
      <c r="E185" s="538">
        <v>0.25</v>
      </c>
      <c r="F185" s="493">
        <v>2</v>
      </c>
      <c r="G185" s="539">
        <f t="shared" si="9"/>
        <v>0.82</v>
      </c>
      <c r="H185" s="535"/>
      <c r="I185" s="535"/>
      <c r="J185" s="536"/>
    </row>
    <row r="186" spans="1:10" s="368" customFormat="1" ht="13">
      <c r="A186" s="432"/>
      <c r="B186" s="492" t="s">
        <v>771</v>
      </c>
      <c r="C186" s="434">
        <v>1.1200000000000001</v>
      </c>
      <c r="D186" s="538">
        <v>0.12</v>
      </c>
      <c r="E186" s="538">
        <v>0.25</v>
      </c>
      <c r="F186" s="493">
        <v>1</v>
      </c>
      <c r="G186" s="539">
        <f t="shared" si="9"/>
        <v>0.03</v>
      </c>
      <c r="H186" s="535"/>
      <c r="I186" s="535"/>
      <c r="J186" s="536"/>
    </row>
    <row r="187" spans="1:10" ht="13">
      <c r="A187" s="364"/>
      <c r="B187" s="462" t="s">
        <v>813</v>
      </c>
      <c r="C187" s="434">
        <v>0.12</v>
      </c>
      <c r="D187" s="434">
        <v>0.25</v>
      </c>
      <c r="E187" s="434">
        <v>0.50</v>
      </c>
      <c r="F187" s="493">
        <v>20</v>
      </c>
      <c r="G187" s="539">
        <v>0.09</v>
      </c>
      <c r="H187" s="540"/>
      <c r="I187" s="540"/>
      <c r="J187" s="541"/>
    </row>
    <row r="188" spans="1:10" ht="13">
      <c r="A188" s="364"/>
      <c r="B188" s="354"/>
      <c r="C188" s="542"/>
      <c r="D188" s="542"/>
      <c r="E188" s="354"/>
      <c r="F188" s="543" t="s">
        <v>311</v>
      </c>
      <c r="G188" s="544">
        <f>SUM(G163:G187)</f>
        <v>12.74</v>
      </c>
      <c r="H188" s="540"/>
      <c r="I188" s="540"/>
      <c r="J188" s="541"/>
    </row>
    <row r="189" spans="1:10" s="486" customFormat="1" ht="13">
      <c r="A189" s="497"/>
      <c r="B189" s="469"/>
      <c r="C189" s="473"/>
      <c r="D189" s="531"/>
      <c r="E189" s="531"/>
      <c r="F189" s="532"/>
      <c r="G189" s="533"/>
      <c r="H189" s="368"/>
      <c r="I189" s="368"/>
      <c r="J189" s="368"/>
    </row>
    <row r="190" spans="1:10" s="486" customFormat="1" ht="13">
      <c r="A190" s="364" t="s">
        <v>511</v>
      </c>
      <c r="B190" s="430" t="s">
        <v>512</v>
      </c>
      <c r="C190" s="430"/>
      <c r="D190" s="430"/>
      <c r="E190" s="430"/>
      <c r="F190" s="430"/>
      <c r="G190" s="430"/>
      <c r="H190" s="430"/>
      <c r="I190" s="430"/>
      <c r="J190" s="430"/>
    </row>
    <row r="191" spans="1:10" ht="13">
      <c r="A191" s="518"/>
      <c r="B191" s="545"/>
      <c r="C191" s="545"/>
      <c r="D191" s="541"/>
      <c r="E191" s="368"/>
      <c r="F191" s="500"/>
      <c r="G191" s="409"/>
      <c r="H191" s="540"/>
      <c r="I191" s="540"/>
      <c r="J191" s="541"/>
    </row>
    <row r="192" spans="1:10" ht="27.75" customHeight="1">
      <c r="A192" s="364" t="str">
        <f>medição!A38</f>
        <v>6.1</v>
      </c>
      <c r="B192" s="487" t="str">
        <f>medição!B38</f>
        <v xml:space="preserve"> COMPOSIÇÃO PARAMÉTRICA PARA EXECUÇÃO DE ESTRUTURAS DE CONCRETO ARMADO CONVENCIONAL, PARA EDIFICAÇÃO HABITACIONAL MULTIFAMILIAR (PRÉDIO), ATÉ 4 PAVIMENTOS, FCK = 25 MPA. AF_11/2022</v>
      </c>
      <c r="C192" s="487"/>
      <c r="D192" s="487"/>
      <c r="E192" s="487"/>
      <c r="F192" s="438"/>
      <c r="G192" s="546"/>
      <c r="H192" s="368"/>
      <c r="I192" s="368"/>
      <c r="J192" s="368"/>
    </row>
    <row r="193" spans="1:10" ht="13">
      <c r="A193" s="364"/>
      <c r="B193" s="534" t="s">
        <v>306</v>
      </c>
      <c r="C193" s="534" t="s">
        <v>739</v>
      </c>
      <c r="D193" s="534" t="s">
        <v>308</v>
      </c>
      <c r="E193" s="534" t="s">
        <v>740</v>
      </c>
      <c r="F193" s="364" t="s">
        <v>745</v>
      </c>
      <c r="G193" s="534" t="s">
        <v>309</v>
      </c>
      <c r="H193" s="368"/>
      <c r="I193" s="368"/>
      <c r="J193" s="368"/>
    </row>
    <row r="194" spans="1:10" ht="13">
      <c r="A194" s="364"/>
      <c r="B194" s="547" t="s">
        <v>814</v>
      </c>
      <c r="C194" s="538">
        <v>0.12</v>
      </c>
      <c r="D194" s="538">
        <v>0.25</v>
      </c>
      <c r="E194" s="538">
        <v>3</v>
      </c>
      <c r="F194" s="493">
        <v>20</v>
      </c>
      <c r="G194" s="539">
        <f>PRODUCT(C194:F194)</f>
        <v>1.80</v>
      </c>
      <c r="H194" s="368"/>
      <c r="I194" s="368"/>
      <c r="J194" s="368"/>
    </row>
    <row r="195" spans="1:10" ht="13">
      <c r="A195" s="364"/>
      <c r="B195" s="492" t="s">
        <v>815</v>
      </c>
      <c r="C195" s="538">
        <v>28.72</v>
      </c>
      <c r="D195" s="538">
        <v>0.12</v>
      </c>
      <c r="E195" s="538">
        <v>0.25</v>
      </c>
      <c r="F195" s="493">
        <v>1</v>
      </c>
      <c r="G195" s="539">
        <f t="shared" si="10" ref="G195:G210">PRODUCT(C195:F195)</f>
        <v>0.86</v>
      </c>
      <c r="H195" s="368"/>
      <c r="I195" s="368"/>
      <c r="J195" s="368"/>
    </row>
    <row r="196" spans="1:10" ht="13">
      <c r="A196" s="364"/>
      <c r="B196" s="492" t="s">
        <v>816</v>
      </c>
      <c r="C196" s="538">
        <v>24.48</v>
      </c>
      <c r="D196" s="538">
        <v>0.12</v>
      </c>
      <c r="E196" s="538">
        <v>0.25</v>
      </c>
      <c r="F196" s="493">
        <v>1</v>
      </c>
      <c r="G196" s="539">
        <f t="shared" si="10"/>
        <v>0.73</v>
      </c>
      <c r="H196" s="368"/>
      <c r="I196" s="368"/>
      <c r="J196" s="368"/>
    </row>
    <row r="197" spans="1:10" ht="13">
      <c r="A197" s="364"/>
      <c r="B197" s="492" t="s">
        <v>817</v>
      </c>
      <c r="C197" s="538">
        <v>13.71</v>
      </c>
      <c r="D197" s="538">
        <v>0.12</v>
      </c>
      <c r="E197" s="538">
        <v>0.25</v>
      </c>
      <c r="F197" s="493">
        <v>2</v>
      </c>
      <c r="G197" s="539">
        <f t="shared" si="10"/>
        <v>0.82</v>
      </c>
      <c r="H197" s="368"/>
      <c r="I197" s="368"/>
      <c r="J197" s="368"/>
    </row>
    <row r="198" spans="1:10" ht="13">
      <c r="A198" s="364"/>
      <c r="B198" s="492" t="s">
        <v>818</v>
      </c>
      <c r="C198" s="538">
        <v>7.56</v>
      </c>
      <c r="D198" s="538">
        <v>0.12</v>
      </c>
      <c r="E198" s="538">
        <v>0.25</v>
      </c>
      <c r="F198" s="493">
        <v>1</v>
      </c>
      <c r="G198" s="539">
        <f t="shared" si="10"/>
        <v>0.23</v>
      </c>
      <c r="H198" s="368"/>
      <c r="I198" s="368"/>
      <c r="J198" s="368"/>
    </row>
    <row r="199" spans="1:10" ht="13">
      <c r="A199" s="364"/>
      <c r="B199" s="492" t="s">
        <v>819</v>
      </c>
      <c r="C199" s="538">
        <v>4.96</v>
      </c>
      <c r="D199" s="538">
        <v>0.12</v>
      </c>
      <c r="E199" s="538">
        <v>0.25</v>
      </c>
      <c r="F199" s="493">
        <v>1</v>
      </c>
      <c r="G199" s="539">
        <f t="shared" si="10"/>
        <v>0.15</v>
      </c>
      <c r="H199" s="368"/>
      <c r="I199" s="368"/>
      <c r="J199" s="368"/>
    </row>
    <row r="200" spans="1:10" ht="13">
      <c r="A200" s="364"/>
      <c r="B200" s="492" t="s">
        <v>820</v>
      </c>
      <c r="C200" s="538">
        <v>3.45</v>
      </c>
      <c r="D200" s="538">
        <v>0.12</v>
      </c>
      <c r="E200" s="538">
        <v>0.25</v>
      </c>
      <c r="F200" s="493">
        <v>1</v>
      </c>
      <c r="G200" s="539">
        <f t="shared" si="10"/>
        <v>0.10</v>
      </c>
      <c r="H200" s="368"/>
      <c r="I200" s="368"/>
      <c r="J200" s="368"/>
    </row>
    <row r="201" spans="1:10" ht="13">
      <c r="A201" s="364"/>
      <c r="B201" s="492" t="s">
        <v>821</v>
      </c>
      <c r="C201" s="538">
        <v>6.96</v>
      </c>
      <c r="D201" s="538">
        <v>0.12</v>
      </c>
      <c r="E201" s="538">
        <v>0.25</v>
      </c>
      <c r="F201" s="493">
        <v>2</v>
      </c>
      <c r="G201" s="539">
        <f t="shared" si="10"/>
        <v>0.42</v>
      </c>
      <c r="H201" s="368"/>
      <c r="I201" s="368"/>
      <c r="J201" s="368"/>
    </row>
    <row r="202" spans="1:10" ht="13">
      <c r="A202" s="364"/>
      <c r="B202" s="492" t="s">
        <v>822</v>
      </c>
      <c r="C202" s="538">
        <v>15.60</v>
      </c>
      <c r="D202" s="538">
        <v>0.12</v>
      </c>
      <c r="E202" s="538">
        <v>0.25</v>
      </c>
      <c r="F202" s="493">
        <v>1</v>
      </c>
      <c r="G202" s="539">
        <f t="shared" si="10"/>
        <v>0.47</v>
      </c>
      <c r="H202" s="368"/>
      <c r="I202" s="368"/>
      <c r="J202" s="368"/>
    </row>
    <row r="203" spans="1:10" ht="13">
      <c r="A203" s="364"/>
      <c r="B203" s="492" t="s">
        <v>823</v>
      </c>
      <c r="C203" s="538">
        <v>12.50</v>
      </c>
      <c r="D203" s="538">
        <v>0.12</v>
      </c>
      <c r="E203" s="538">
        <v>0.25</v>
      </c>
      <c r="F203" s="493">
        <v>2</v>
      </c>
      <c r="G203" s="539">
        <f t="shared" si="10"/>
        <v>0.75</v>
      </c>
      <c r="H203" s="368"/>
      <c r="I203" s="368"/>
      <c r="J203" s="368"/>
    </row>
    <row r="204" spans="1:10" ht="13">
      <c r="A204" s="364"/>
      <c r="B204" s="492" t="s">
        <v>824</v>
      </c>
      <c r="C204" s="538">
        <v>6.48</v>
      </c>
      <c r="D204" s="538">
        <v>0.12</v>
      </c>
      <c r="E204" s="538">
        <v>0.25</v>
      </c>
      <c r="F204" s="493">
        <v>1</v>
      </c>
      <c r="G204" s="539">
        <f t="shared" si="10"/>
        <v>0.19</v>
      </c>
      <c r="H204" s="368"/>
      <c r="I204" s="368"/>
      <c r="J204" s="368"/>
    </row>
    <row r="205" spans="1:10" ht="13">
      <c r="A205" s="364"/>
      <c r="B205" s="492" t="s">
        <v>825</v>
      </c>
      <c r="C205" s="538">
        <v>4.24</v>
      </c>
      <c r="D205" s="538">
        <v>0.12</v>
      </c>
      <c r="E205" s="538">
        <v>0.25</v>
      </c>
      <c r="F205" s="493">
        <v>3</v>
      </c>
      <c r="G205" s="539">
        <f t="shared" si="10"/>
        <v>0.38</v>
      </c>
      <c r="H205" s="368"/>
      <c r="I205" s="368"/>
      <c r="J205" s="368"/>
    </row>
    <row r="206" spans="1:10" ht="13">
      <c r="A206" s="364"/>
      <c r="B206" s="492" t="s">
        <v>826</v>
      </c>
      <c r="C206" s="538">
        <v>4.80</v>
      </c>
      <c r="D206" s="538">
        <v>0.12</v>
      </c>
      <c r="E206" s="538">
        <v>0.25</v>
      </c>
      <c r="F206" s="493">
        <v>2</v>
      </c>
      <c r="G206" s="539">
        <f t="shared" si="10"/>
        <v>0.28999999999999998</v>
      </c>
      <c r="H206" s="368"/>
      <c r="I206" s="368"/>
      <c r="J206" s="368"/>
    </row>
    <row r="207" spans="1:10" ht="13">
      <c r="A207" s="364"/>
      <c r="B207" s="492" t="s">
        <v>827</v>
      </c>
      <c r="C207" s="538">
        <v>4.24</v>
      </c>
      <c r="D207" s="538">
        <v>0.12</v>
      </c>
      <c r="E207" s="538">
        <v>0.25</v>
      </c>
      <c r="F207" s="493">
        <v>1</v>
      </c>
      <c r="G207" s="539">
        <f t="shared" si="10"/>
        <v>0.13</v>
      </c>
      <c r="H207" s="368"/>
      <c r="I207" s="368"/>
      <c r="J207" s="368"/>
    </row>
    <row r="208" spans="1:10" ht="13">
      <c r="A208" s="364"/>
      <c r="B208" s="492" t="s">
        <v>828</v>
      </c>
      <c r="C208" s="538">
        <v>3.50</v>
      </c>
      <c r="D208" s="538">
        <v>0.12</v>
      </c>
      <c r="E208" s="538">
        <v>0.25</v>
      </c>
      <c r="F208" s="493">
        <v>1</v>
      </c>
      <c r="G208" s="539">
        <f t="shared" si="10"/>
        <v>0.11</v>
      </c>
      <c r="H208" s="368"/>
      <c r="I208" s="368"/>
      <c r="J208" s="368"/>
    </row>
    <row r="209" spans="1:10" ht="13">
      <c r="A209" s="364"/>
      <c r="B209" s="492" t="s">
        <v>829</v>
      </c>
      <c r="C209" s="538">
        <v>4.24</v>
      </c>
      <c r="D209" s="538">
        <v>0.12</v>
      </c>
      <c r="E209" s="538">
        <v>0.25</v>
      </c>
      <c r="F209" s="493">
        <v>1</v>
      </c>
      <c r="G209" s="539">
        <f t="shared" si="10"/>
        <v>0.13</v>
      </c>
      <c r="H209" s="368"/>
      <c r="I209" s="368"/>
      <c r="J209" s="368"/>
    </row>
    <row r="210" spans="1:10" ht="13">
      <c r="A210" s="364"/>
      <c r="B210" s="492" t="s">
        <v>830</v>
      </c>
      <c r="C210" s="538">
        <v>1.74</v>
      </c>
      <c r="D210" s="538">
        <v>0.12</v>
      </c>
      <c r="E210" s="538">
        <v>0.25</v>
      </c>
      <c r="F210" s="493">
        <v>1</v>
      </c>
      <c r="G210" s="539">
        <f t="shared" si="10"/>
        <v>0.05</v>
      </c>
      <c r="H210" s="368"/>
      <c r="I210" s="368"/>
      <c r="J210" s="368"/>
    </row>
    <row r="211" spans="1:10" ht="13">
      <c r="A211" s="364"/>
      <c r="B211" s="542"/>
      <c r="C211" s="542"/>
      <c r="D211" s="542"/>
      <c r="E211" s="543"/>
      <c r="F211" s="543" t="s">
        <v>311</v>
      </c>
      <c r="G211" s="544">
        <f>SUM(G194:G210)</f>
        <v>7.61</v>
      </c>
      <c r="H211" s="368"/>
      <c r="I211" s="368"/>
      <c r="J211" s="368"/>
    </row>
    <row r="212" spans="1:10" ht="13">
      <c r="A212" s="477"/>
      <c r="B212" s="43"/>
      <c r="C212" s="43"/>
      <c r="D212" s="43"/>
      <c r="E212" s="548"/>
      <c r="F212" s="548"/>
      <c r="G212" s="549"/>
      <c r="H212" s="368"/>
      <c r="I212" s="368"/>
      <c r="J212" s="368"/>
    </row>
    <row r="213" spans="1:10" ht="13">
      <c r="A213" s="364" t="str">
        <f>medição!A39</f>
        <v>6.2</v>
      </c>
      <c r="B213" s="487" t="str">
        <f>medição!B39</f>
        <v>CONCRETO ARMADO PARA RUFOS</v>
      </c>
      <c r="C213" s="487"/>
      <c r="D213" s="487"/>
      <c r="E213" s="487"/>
      <c r="F213" s="438"/>
      <c r="G213" s="546"/>
      <c r="H213" s="368"/>
      <c r="I213" s="368"/>
      <c r="J213" s="368"/>
    </row>
    <row r="214" spans="1:10" ht="13">
      <c r="A214" s="364"/>
      <c r="B214" s="534" t="s">
        <v>306</v>
      </c>
      <c r="C214" s="534" t="s">
        <v>739</v>
      </c>
      <c r="D214" s="534" t="s">
        <v>308</v>
      </c>
      <c r="E214" s="534" t="s">
        <v>740</v>
      </c>
      <c r="F214" s="364" t="s">
        <v>745</v>
      </c>
      <c r="G214" s="534" t="s">
        <v>309</v>
      </c>
      <c r="H214" s="368"/>
      <c r="I214" s="368"/>
      <c r="J214" s="368"/>
    </row>
    <row r="215" spans="1:10" ht="13">
      <c r="A215" s="364"/>
      <c r="B215" s="547" t="s">
        <v>831</v>
      </c>
      <c r="C215" s="538">
        <v>9.24</v>
      </c>
      <c r="D215" s="538">
        <v>0.40</v>
      </c>
      <c r="E215" s="538">
        <v>0.05</v>
      </c>
      <c r="F215" s="493">
        <v>1</v>
      </c>
      <c r="G215" s="539">
        <f>PRODUCT(C215:F215)</f>
        <v>0.18</v>
      </c>
      <c r="H215" s="368"/>
      <c r="I215" s="368"/>
      <c r="J215" s="368"/>
    </row>
    <row r="216" spans="1:10" ht="13">
      <c r="A216" s="364"/>
      <c r="B216" s="547" t="s">
        <v>832</v>
      </c>
      <c r="C216" s="538">
        <v>6.96</v>
      </c>
      <c r="D216" s="538">
        <v>0.40</v>
      </c>
      <c r="E216" s="538">
        <v>0.05</v>
      </c>
      <c r="F216" s="493">
        <v>1</v>
      </c>
      <c r="G216" s="539">
        <f>PRODUCT(C216:F216)</f>
        <v>0.14000000000000001</v>
      </c>
      <c r="H216" s="368"/>
      <c r="I216" s="368"/>
      <c r="J216" s="368"/>
    </row>
    <row r="217" spans="1:10" ht="13">
      <c r="A217" s="364"/>
      <c r="B217" s="492"/>
      <c r="C217" s="538"/>
      <c r="D217" s="538"/>
      <c r="E217" s="538"/>
      <c r="F217" s="463" t="s">
        <v>311</v>
      </c>
      <c r="G217" s="544">
        <f>SUM(G215:G216)</f>
        <v>0.32</v>
      </c>
      <c r="H217" s="368"/>
      <c r="I217" s="368"/>
      <c r="J217" s="368"/>
    </row>
    <row r="218" spans="1:10" ht="13">
      <c r="A218" s="518"/>
      <c r="B218" s="550"/>
      <c r="C218" s="550"/>
      <c r="D218" s="550"/>
      <c r="E218" s="551"/>
      <c r="F218" s="552"/>
      <c r="G218" s="518"/>
      <c r="H218" s="368"/>
      <c r="I218" s="368"/>
      <c r="J218" s="368"/>
    </row>
    <row r="219" spans="1:10" ht="13">
      <c r="A219" s="364" t="str">
        <f>medição!A41</f>
        <v>7.0</v>
      </c>
      <c r="B219" s="430" t="str">
        <f>medição!B41</f>
        <v>IMPERMEABILIZAÇÃO DE ESTRUTURAS</v>
      </c>
      <c r="C219" s="430"/>
      <c r="D219" s="430"/>
      <c r="E219" s="430"/>
      <c r="F219" s="430"/>
      <c r="G219" s="430"/>
      <c r="H219" s="430"/>
      <c r="I219" s="430"/>
      <c r="J219" s="430"/>
    </row>
    <row r="220" spans="1:10" ht="13">
      <c r="A220" s="518"/>
      <c r="B220" s="553"/>
      <c r="C220" s="554"/>
      <c r="D220" s="554"/>
      <c r="E220" s="518"/>
      <c r="F220" s="518"/>
      <c r="G220" s="518"/>
      <c r="H220" s="368"/>
      <c r="I220" s="368"/>
      <c r="J220" s="368"/>
    </row>
    <row r="221" spans="1:10" ht="13">
      <c r="A221" s="364" t="str">
        <f>medição!A42</f>
        <v>7.1</v>
      </c>
      <c r="B221" s="555" t="str">
        <f>medição!B42</f>
        <v>Impermeabilização de superfície com emulsão asfáltica, 2 demãos</v>
      </c>
      <c r="C221" s="555"/>
      <c r="D221" s="555"/>
      <c r="E221" s="555"/>
      <c r="F221" s="555"/>
      <c r="G221" s="555"/>
      <c r="H221" s="368"/>
      <c r="I221" s="368"/>
      <c r="J221" s="368"/>
    </row>
    <row r="222" spans="1:10" ht="13">
      <c r="A222" s="364"/>
      <c r="B222" s="534" t="s">
        <v>306</v>
      </c>
      <c r="C222" s="534" t="s">
        <v>833</v>
      </c>
      <c r="D222" s="534" t="s">
        <v>308</v>
      </c>
      <c r="E222" s="556" t="s">
        <v>740</v>
      </c>
      <c r="F222" s="534" t="s">
        <v>745</v>
      </c>
      <c r="G222" s="534" t="s">
        <v>309</v>
      </c>
      <c r="H222" s="368"/>
      <c r="I222" s="368"/>
      <c r="J222" s="368"/>
    </row>
    <row r="223" spans="1:10" ht="13">
      <c r="A223" s="356"/>
      <c r="B223" s="462" t="s">
        <v>748</v>
      </c>
      <c r="C223" s="489">
        <f>1</f>
        <v>1</v>
      </c>
      <c r="D223" s="489">
        <f>1</f>
        <v>1</v>
      </c>
      <c r="E223" s="489">
        <f>0.25+0.05</f>
        <v>0.30</v>
      </c>
      <c r="F223" s="490">
        <v>20</v>
      </c>
      <c r="G223" s="557">
        <f>(C223*D223+D223*E223*4)*F223</f>
        <v>44</v>
      </c>
      <c r="H223" s="368"/>
      <c r="I223" s="368"/>
      <c r="J223" s="368"/>
    </row>
    <row r="224" spans="1:10" ht="13">
      <c r="A224" s="356"/>
      <c r="B224" s="492" t="s">
        <v>749</v>
      </c>
      <c r="C224" s="434">
        <f>15.74</f>
        <v>15.74</v>
      </c>
      <c r="D224" s="434">
        <v>0.12</v>
      </c>
      <c r="E224" s="434">
        <v>0.25</v>
      </c>
      <c r="F224" s="493">
        <v>1</v>
      </c>
      <c r="G224" s="557">
        <f>(C224*D224+C224*E224*2)*F224</f>
        <v>9.76</v>
      </c>
      <c r="H224" s="368"/>
      <c r="I224" s="368"/>
      <c r="J224" s="368"/>
    </row>
    <row r="225" spans="1:10" ht="13">
      <c r="A225" s="534"/>
      <c r="B225" s="492" t="s">
        <v>750</v>
      </c>
      <c r="C225" s="434">
        <v>12.64</v>
      </c>
      <c r="D225" s="434">
        <v>0.12</v>
      </c>
      <c r="E225" s="434">
        <v>0.25</v>
      </c>
      <c r="F225" s="493">
        <v>1</v>
      </c>
      <c r="G225" s="557">
        <f t="shared" si="11" ref="G225:G247">(C225*D225+C225*E225*2)*F225</f>
        <v>7.84</v>
      </c>
      <c r="H225" s="368"/>
      <c r="I225" s="368"/>
      <c r="J225" s="368"/>
    </row>
    <row r="226" spans="1:10" ht="13">
      <c r="A226" s="534"/>
      <c r="B226" s="492" t="s">
        <v>751</v>
      </c>
      <c r="C226" s="434">
        <v>4.24</v>
      </c>
      <c r="D226" s="434">
        <v>0.12</v>
      </c>
      <c r="E226" s="434">
        <v>0.25</v>
      </c>
      <c r="F226" s="493">
        <v>6</v>
      </c>
      <c r="G226" s="557">
        <f t="shared" si="11"/>
        <v>15.77</v>
      </c>
      <c r="H226" s="368"/>
      <c r="I226" s="368"/>
      <c r="J226" s="368"/>
    </row>
    <row r="227" spans="1:10" ht="13">
      <c r="A227" s="534"/>
      <c r="B227" s="492" t="s">
        <v>752</v>
      </c>
      <c r="C227" s="434">
        <v>6.90</v>
      </c>
      <c r="D227" s="434">
        <v>0.12</v>
      </c>
      <c r="E227" s="434">
        <v>0.25</v>
      </c>
      <c r="F227" s="493">
        <v>1</v>
      </c>
      <c r="G227" s="557">
        <f t="shared" si="11"/>
        <v>4.28</v>
      </c>
      <c r="H227" s="368"/>
      <c r="I227" s="368"/>
      <c r="J227" s="368"/>
    </row>
    <row r="228" spans="1:10" ht="13">
      <c r="A228" s="534"/>
      <c r="B228" s="492" t="s">
        <v>753</v>
      </c>
      <c r="C228" s="434">
        <v>10</v>
      </c>
      <c r="D228" s="434">
        <v>0.12</v>
      </c>
      <c r="E228" s="434">
        <v>0.25</v>
      </c>
      <c r="F228" s="493">
        <v>1</v>
      </c>
      <c r="G228" s="557">
        <f t="shared" si="11"/>
        <v>6.20</v>
      </c>
      <c r="H228" s="368"/>
      <c r="I228" s="368"/>
      <c r="J228" s="368"/>
    </row>
    <row r="229" spans="1:10" ht="13">
      <c r="A229" s="534"/>
      <c r="B229" s="492" t="s">
        <v>754</v>
      </c>
      <c r="C229" s="434">
        <v>3.50</v>
      </c>
      <c r="D229" s="434">
        <v>0.12</v>
      </c>
      <c r="E229" s="434">
        <v>0.25</v>
      </c>
      <c r="F229" s="493">
        <v>5</v>
      </c>
      <c r="G229" s="557">
        <f t="shared" si="11"/>
        <v>10.85</v>
      </c>
      <c r="H229" s="368"/>
      <c r="I229" s="368"/>
      <c r="J229" s="368"/>
    </row>
    <row r="230" spans="1:10" ht="13">
      <c r="A230" s="534"/>
      <c r="B230" s="492" t="s">
        <v>755</v>
      </c>
      <c r="C230" s="434">
        <v>4.80</v>
      </c>
      <c r="D230" s="434">
        <v>0.12</v>
      </c>
      <c r="E230" s="434">
        <v>0.25</v>
      </c>
      <c r="F230" s="493">
        <v>2</v>
      </c>
      <c r="G230" s="557">
        <f t="shared" si="11"/>
        <v>5.95</v>
      </c>
      <c r="H230" s="368"/>
      <c r="I230" s="368"/>
      <c r="J230" s="368"/>
    </row>
    <row r="231" spans="1:10" ht="13">
      <c r="A231" s="534"/>
      <c r="B231" s="492" t="s">
        <v>756</v>
      </c>
      <c r="C231" s="434">
        <v>2.4700000000000002</v>
      </c>
      <c r="D231" s="434">
        <v>0.12</v>
      </c>
      <c r="E231" s="434">
        <v>0.25</v>
      </c>
      <c r="F231" s="493">
        <v>2</v>
      </c>
      <c r="G231" s="557">
        <f t="shared" si="11"/>
        <v>3.06</v>
      </c>
      <c r="H231" s="368"/>
      <c r="I231" s="368"/>
      <c r="J231" s="368"/>
    </row>
    <row r="232" spans="1:10" ht="13">
      <c r="A232" s="534"/>
      <c r="B232" s="492" t="s">
        <v>757</v>
      </c>
      <c r="C232" s="434">
        <v>2.0499999999999998</v>
      </c>
      <c r="D232" s="434">
        <v>0.12</v>
      </c>
      <c r="E232" s="434">
        <v>0.25</v>
      </c>
      <c r="F232" s="493">
        <v>2</v>
      </c>
      <c r="G232" s="557">
        <f t="shared" si="11"/>
        <v>2.54</v>
      </c>
      <c r="H232" s="368"/>
      <c r="I232" s="368"/>
      <c r="J232" s="368"/>
    </row>
    <row r="233" spans="1:10" ht="13">
      <c r="A233" s="534"/>
      <c r="B233" s="492" t="s">
        <v>758</v>
      </c>
      <c r="C233" s="434">
        <v>3.12</v>
      </c>
      <c r="D233" s="434">
        <v>0.12</v>
      </c>
      <c r="E233" s="434">
        <v>0.25</v>
      </c>
      <c r="F233" s="493">
        <v>1</v>
      </c>
      <c r="G233" s="557">
        <f t="shared" si="11"/>
        <v>1.93</v>
      </c>
      <c r="H233" s="368"/>
      <c r="I233" s="368"/>
      <c r="J233" s="368"/>
    </row>
    <row r="234" spans="1:10" ht="13">
      <c r="A234" s="534"/>
      <c r="B234" s="492" t="s">
        <v>759</v>
      </c>
      <c r="C234" s="434">
        <v>1.74</v>
      </c>
      <c r="D234" s="434">
        <v>0.12</v>
      </c>
      <c r="E234" s="434">
        <v>0.25</v>
      </c>
      <c r="F234" s="493">
        <v>2</v>
      </c>
      <c r="G234" s="557">
        <f t="shared" si="11"/>
        <v>2.16</v>
      </c>
      <c r="H234" s="368"/>
      <c r="I234" s="368"/>
      <c r="J234" s="368"/>
    </row>
    <row r="235" spans="1:10" ht="13">
      <c r="A235" s="534"/>
      <c r="B235" s="492" t="s">
        <v>760</v>
      </c>
      <c r="C235" s="434">
        <v>9.24</v>
      </c>
      <c r="D235" s="434">
        <v>0.12</v>
      </c>
      <c r="E235" s="434">
        <v>0.25</v>
      </c>
      <c r="F235" s="493">
        <v>1</v>
      </c>
      <c r="G235" s="557">
        <f t="shared" si="11"/>
        <v>5.73</v>
      </c>
      <c r="H235" s="368"/>
      <c r="I235" s="368"/>
      <c r="J235" s="368"/>
    </row>
    <row r="236" spans="1:10" ht="13">
      <c r="A236" s="534"/>
      <c r="B236" s="492" t="s">
        <v>761</v>
      </c>
      <c r="C236" s="434">
        <v>29.67</v>
      </c>
      <c r="D236" s="434">
        <v>0.12</v>
      </c>
      <c r="E236" s="434">
        <v>0.25</v>
      </c>
      <c r="F236" s="493">
        <v>1</v>
      </c>
      <c r="G236" s="557">
        <f t="shared" si="11"/>
        <v>18.40</v>
      </c>
      <c r="H236" s="368"/>
      <c r="I236" s="368"/>
      <c r="J236" s="368"/>
    </row>
    <row r="237" spans="1:10" ht="13">
      <c r="A237" s="534"/>
      <c r="B237" s="492" t="s">
        <v>762</v>
      </c>
      <c r="C237" s="434">
        <v>3.24</v>
      </c>
      <c r="D237" s="434">
        <v>0.12</v>
      </c>
      <c r="E237" s="434">
        <v>0.25</v>
      </c>
      <c r="F237" s="493">
        <v>6</v>
      </c>
      <c r="G237" s="557">
        <f t="shared" si="11"/>
        <v>12.05</v>
      </c>
      <c r="H237" s="368"/>
      <c r="I237" s="368"/>
      <c r="J237" s="368"/>
    </row>
    <row r="238" spans="1:10" ht="13">
      <c r="A238" s="534"/>
      <c r="B238" s="492" t="s">
        <v>763</v>
      </c>
      <c r="C238" s="434">
        <v>6.96</v>
      </c>
      <c r="D238" s="434">
        <v>0.12</v>
      </c>
      <c r="E238" s="434">
        <v>0.25</v>
      </c>
      <c r="F238" s="493">
        <v>2</v>
      </c>
      <c r="G238" s="557">
        <f t="shared" si="11"/>
        <v>8.6300000000000008</v>
      </c>
      <c r="H238" s="368"/>
      <c r="I238" s="368"/>
      <c r="J238" s="368"/>
    </row>
    <row r="239" spans="1:10" ht="13">
      <c r="A239" s="534"/>
      <c r="B239" s="492" t="s">
        <v>764</v>
      </c>
      <c r="C239" s="434">
        <v>6.06</v>
      </c>
      <c r="D239" s="434">
        <v>0.12</v>
      </c>
      <c r="E239" s="434">
        <v>0.25</v>
      </c>
      <c r="F239" s="493">
        <v>1</v>
      </c>
      <c r="G239" s="557">
        <f t="shared" si="11"/>
        <v>3.76</v>
      </c>
      <c r="H239" s="368"/>
      <c r="I239" s="368"/>
      <c r="J239" s="368"/>
    </row>
    <row r="240" spans="1:10" ht="13">
      <c r="A240" s="534"/>
      <c r="B240" s="492" t="s">
        <v>765</v>
      </c>
      <c r="C240" s="434">
        <v>7.56</v>
      </c>
      <c r="D240" s="434">
        <v>0.12</v>
      </c>
      <c r="E240" s="434">
        <v>0.25</v>
      </c>
      <c r="F240" s="493">
        <v>1</v>
      </c>
      <c r="G240" s="557">
        <f t="shared" si="11"/>
        <v>4.6900000000000004</v>
      </c>
      <c r="H240" s="368"/>
      <c r="I240" s="368"/>
      <c r="J240" s="368"/>
    </row>
    <row r="241" spans="1:10" ht="13">
      <c r="A241" s="534"/>
      <c r="B241" s="492" t="s">
        <v>766</v>
      </c>
      <c r="C241" s="434">
        <v>4.96</v>
      </c>
      <c r="D241" s="434">
        <v>0.12</v>
      </c>
      <c r="E241" s="434">
        <v>0.25</v>
      </c>
      <c r="F241" s="493">
        <v>1</v>
      </c>
      <c r="G241" s="557">
        <f t="shared" si="11"/>
        <v>3.08</v>
      </c>
      <c r="H241" s="368"/>
      <c r="I241" s="368"/>
      <c r="J241" s="368"/>
    </row>
    <row r="242" spans="1:10" ht="13">
      <c r="A242" s="534"/>
      <c r="B242" s="492" t="s">
        <v>767</v>
      </c>
      <c r="C242" s="434">
        <v>2.02</v>
      </c>
      <c r="D242" s="434">
        <v>0.12</v>
      </c>
      <c r="E242" s="434">
        <v>0.25</v>
      </c>
      <c r="F242" s="493">
        <v>2</v>
      </c>
      <c r="G242" s="557">
        <f t="shared" si="11"/>
        <v>2.50</v>
      </c>
      <c r="H242" s="368"/>
      <c r="I242" s="368"/>
      <c r="J242" s="368"/>
    </row>
    <row r="243" spans="1:10" ht="13">
      <c r="A243" s="534"/>
      <c r="B243" s="492" t="s">
        <v>768</v>
      </c>
      <c r="C243" s="434">
        <v>3</v>
      </c>
      <c r="D243" s="434">
        <v>0.12</v>
      </c>
      <c r="E243" s="434">
        <v>0.25</v>
      </c>
      <c r="F243" s="493">
        <v>2</v>
      </c>
      <c r="G243" s="557">
        <f t="shared" si="11"/>
        <v>3.72</v>
      </c>
      <c r="H243" s="368"/>
      <c r="I243" s="368"/>
      <c r="J243" s="368"/>
    </row>
    <row r="244" spans="1:10" ht="13">
      <c r="A244" s="534"/>
      <c r="B244" s="492" t="s">
        <v>769</v>
      </c>
      <c r="C244" s="434">
        <v>12.42</v>
      </c>
      <c r="D244" s="434">
        <v>0.12</v>
      </c>
      <c r="E244" s="434">
        <v>0.25</v>
      </c>
      <c r="F244" s="493">
        <v>1</v>
      </c>
      <c r="G244" s="557">
        <f t="shared" si="11"/>
        <v>7.70</v>
      </c>
      <c r="H244" s="368"/>
      <c r="I244" s="368"/>
      <c r="J244" s="368"/>
    </row>
    <row r="245" spans="1:10" ht="13">
      <c r="A245" s="534"/>
      <c r="B245" s="492" t="s">
        <v>770</v>
      </c>
      <c r="C245" s="434">
        <v>13.71</v>
      </c>
      <c r="D245" s="434">
        <v>0.12</v>
      </c>
      <c r="E245" s="434">
        <v>0.25</v>
      </c>
      <c r="F245" s="493">
        <v>2</v>
      </c>
      <c r="G245" s="557">
        <f t="shared" si="11"/>
        <v>17</v>
      </c>
      <c r="H245" s="368"/>
      <c r="I245" s="368"/>
      <c r="J245" s="368"/>
    </row>
    <row r="246" spans="1:10" ht="13">
      <c r="A246" s="534"/>
      <c r="B246" s="492" t="s">
        <v>771</v>
      </c>
      <c r="C246" s="434">
        <v>1.1200000000000001</v>
      </c>
      <c r="D246" s="434">
        <v>0.12</v>
      </c>
      <c r="E246" s="434">
        <v>0.25</v>
      </c>
      <c r="F246" s="493">
        <v>1</v>
      </c>
      <c r="G246" s="557">
        <f t="shared" si="11"/>
        <v>0.69</v>
      </c>
      <c r="H246" s="368"/>
      <c r="I246" s="368"/>
      <c r="J246" s="368"/>
    </row>
    <row r="247" spans="1:10" s="486" customFormat="1" ht="13">
      <c r="A247" s="534"/>
      <c r="B247" s="354" t="s">
        <v>834</v>
      </c>
      <c r="C247" s="434">
        <v>0.12</v>
      </c>
      <c r="D247" s="434">
        <v>0.25</v>
      </c>
      <c r="E247" s="434">
        <v>0.50</v>
      </c>
      <c r="F247" s="493">
        <v>20</v>
      </c>
      <c r="G247" s="557">
        <f t="shared" si="11"/>
        <v>3</v>
      </c>
      <c r="H247" s="368"/>
      <c r="I247" s="368"/>
      <c r="J247" s="368"/>
    </row>
    <row r="248" spans="1:10" ht="13">
      <c r="A248" s="534"/>
      <c r="B248" s="558"/>
      <c r="C248" s="559"/>
      <c r="D248" s="560"/>
      <c r="E248" s="543"/>
      <c r="F248" s="543" t="s">
        <v>311</v>
      </c>
      <c r="G248" s="561">
        <f>SUM(G223:G247)</f>
        <v>205.29</v>
      </c>
      <c r="H248" s="368"/>
      <c r="I248" s="368"/>
      <c r="J248" s="368"/>
    </row>
    <row r="249" spans="1:7" ht="13">
      <c r="A249" s="562"/>
      <c r="B249" s="563"/>
      <c r="C249" s="482"/>
      <c r="G249" s="564"/>
    </row>
    <row r="250" spans="1:10" ht="13">
      <c r="A250" s="432" t="str">
        <f>medição!A44</f>
        <v>8.0</v>
      </c>
      <c r="B250" s="430" t="str">
        <f>medição!B44</f>
        <v>ALVENARIA/REVESTIMENTO</v>
      </c>
      <c r="C250" s="430"/>
      <c r="D250" s="430"/>
      <c r="E250" s="430"/>
      <c r="F250" s="430"/>
      <c r="G250" s="430"/>
      <c r="H250" s="430"/>
      <c r="I250" s="430"/>
      <c r="J250" s="430"/>
    </row>
    <row r="251" spans="1:10" ht="13">
      <c r="A251" s="464"/>
      <c r="B251" s="468"/>
      <c r="C251" s="468"/>
      <c r="D251" s="469"/>
      <c r="E251" s="469"/>
      <c r="F251" s="469"/>
      <c r="G251" s="469"/>
      <c r="H251" s="368"/>
      <c r="I251" s="368"/>
      <c r="J251" s="368"/>
    </row>
    <row r="252" spans="1:10" ht="24" customHeight="1">
      <c r="A252" s="432" t="str">
        <f>medição!A45</f>
        <v>8.1</v>
      </c>
      <c r="B252" s="565" t="str">
        <f>medição!B45</f>
        <v>ALVENARIA DE VEDAÇÃO DE BLOCOS CERÂMICOS FURADOS NA HORIZONTAL DE 9X19X29 CM (ESPESSURA 9 CM) E ARGAMASSA DE ASSENTAMENTO COM PREPARO EM BETONEIRA. AF_12/2021</v>
      </c>
      <c r="C252" s="565"/>
      <c r="D252" s="565"/>
      <c r="E252" s="565"/>
      <c r="F252" s="565"/>
      <c r="G252" s="469"/>
      <c r="H252" s="469"/>
      <c r="I252" s="368"/>
      <c r="J252" s="368"/>
    </row>
    <row r="253" spans="1:10" ht="13">
      <c r="A253" s="432"/>
      <c r="B253" s="345" t="s">
        <v>306</v>
      </c>
      <c r="C253" s="345" t="s">
        <v>741</v>
      </c>
      <c r="D253" s="345" t="s">
        <v>740</v>
      </c>
      <c r="E253" s="364" t="s">
        <v>835</v>
      </c>
      <c r="F253" s="364" t="s">
        <v>309</v>
      </c>
      <c r="G253" s="469"/>
      <c r="H253" s="469"/>
      <c r="I253" s="368"/>
      <c r="J253" s="368"/>
    </row>
    <row r="254" spans="1:10" ht="13">
      <c r="A254" s="432"/>
      <c r="B254" s="528" t="s">
        <v>746</v>
      </c>
      <c r="C254" s="345"/>
      <c r="D254" s="345"/>
      <c r="E254" s="364"/>
      <c r="F254" s="364"/>
      <c r="G254" s="469"/>
      <c r="H254" s="469"/>
      <c r="I254" s="368"/>
      <c r="J254" s="368"/>
    </row>
    <row r="255" spans="1:10" ht="13">
      <c r="A255" s="432"/>
      <c r="B255" s="354" t="s">
        <v>780</v>
      </c>
      <c r="C255" s="434">
        <f>3.24+1.5+3.25+1.5</f>
        <v>9.49</v>
      </c>
      <c r="D255" s="434">
        <v>3</v>
      </c>
      <c r="E255" s="566">
        <f>(1*0.6)+(0.8*2.1)</f>
        <v>2.2799999999999998</v>
      </c>
      <c r="F255" s="566">
        <f>((C255*D255)-E255)</f>
        <v>26.19</v>
      </c>
      <c r="G255" s="469"/>
      <c r="H255" s="368"/>
      <c r="I255" s="368"/>
      <c r="J255" s="368"/>
    </row>
    <row r="256" spans="1:10" ht="13">
      <c r="A256" s="432"/>
      <c r="B256" s="354" t="s">
        <v>781</v>
      </c>
      <c r="C256" s="434">
        <f>3.24+3+3</f>
        <v>9.24</v>
      </c>
      <c r="D256" s="434">
        <v>3</v>
      </c>
      <c r="E256" s="566">
        <f>(0.6*0.6)+(0.9*2.1)</f>
        <v>2.25</v>
      </c>
      <c r="F256" s="566">
        <f>((C256*D256)-E256)</f>
        <v>25.47</v>
      </c>
      <c r="G256" s="469"/>
      <c r="H256" s="368"/>
      <c r="I256" s="368"/>
      <c r="J256" s="368"/>
    </row>
    <row r="257" spans="1:10" ht="13">
      <c r="A257" s="432"/>
      <c r="B257" s="354" t="s">
        <v>782</v>
      </c>
      <c r="C257" s="434">
        <f>3.24+2.52+2.52</f>
        <v>8.2799999999999994</v>
      </c>
      <c r="D257" s="434">
        <v>3</v>
      </c>
      <c r="E257" s="566">
        <f>(0.6*0.6)*2+(0.8*2.1)</f>
        <v>2.40</v>
      </c>
      <c r="F257" s="566">
        <f>((C257*D257)-E257)</f>
        <v>22.44</v>
      </c>
      <c r="G257" s="469"/>
      <c r="H257" s="368"/>
      <c r="I257" s="368"/>
      <c r="J257" s="368"/>
    </row>
    <row r="258" spans="1:10" ht="13">
      <c r="A258" s="432"/>
      <c r="B258" s="354" t="s">
        <v>783</v>
      </c>
      <c r="C258" s="434">
        <f>3.24+1.2+1.2</f>
        <v>5.64</v>
      </c>
      <c r="D258" s="434">
        <v>3</v>
      </c>
      <c r="E258" s="566">
        <f>(0.6*0.6)+(0.8*2.1)</f>
        <v>2.04</v>
      </c>
      <c r="F258" s="566">
        <f>((C258*D258)-E258)</f>
        <v>14.88</v>
      </c>
      <c r="G258" s="469"/>
      <c r="H258" s="368"/>
      <c r="I258" s="368"/>
      <c r="J258" s="368"/>
    </row>
    <row r="259" spans="1:10" ht="13">
      <c r="A259" s="432"/>
      <c r="B259" s="354" t="s">
        <v>784</v>
      </c>
      <c r="C259" s="434">
        <f>1.02+1.02+3.24</f>
        <v>5.28</v>
      </c>
      <c r="D259" s="434">
        <v>3</v>
      </c>
      <c r="E259" s="566">
        <f>(0.6*0.6)+(0.8*2.1)</f>
        <v>2.04</v>
      </c>
      <c r="F259" s="566">
        <f>((C259*D259)-E259)</f>
        <v>13.80</v>
      </c>
      <c r="G259" s="469"/>
      <c r="H259" s="368"/>
      <c r="I259" s="368"/>
      <c r="J259" s="368"/>
    </row>
    <row r="260" spans="1:10" ht="13">
      <c r="A260" s="432"/>
      <c r="B260" s="354" t="s">
        <v>785</v>
      </c>
      <c r="C260" s="434">
        <f>1.15+1.15+3.24</f>
        <v>5.54</v>
      </c>
      <c r="D260" s="434">
        <v>3</v>
      </c>
      <c r="E260" s="566">
        <f>(0.6*0.6)+(0.8*2.1)</f>
        <v>2.04</v>
      </c>
      <c r="F260" s="566">
        <f t="shared" si="12" ref="F260:F269">((C260*D260)-E260)</f>
        <v>14.58</v>
      </c>
      <c r="G260" s="469"/>
      <c r="H260" s="368"/>
      <c r="I260" s="368"/>
      <c r="J260" s="368"/>
    </row>
    <row r="261" spans="1:10" ht="13">
      <c r="A261" s="432"/>
      <c r="B261" s="354" t="s">
        <v>786</v>
      </c>
      <c r="C261" s="434">
        <f>1.15+1.15+3.24</f>
        <v>5.54</v>
      </c>
      <c r="D261" s="434">
        <v>3</v>
      </c>
      <c r="E261" s="566">
        <f>(0.6*0.6)+(0.8*2.1)</f>
        <v>2.04</v>
      </c>
      <c r="F261" s="566">
        <f t="shared" si="12"/>
        <v>14.58</v>
      </c>
      <c r="G261" s="469"/>
      <c r="H261" s="368"/>
      <c r="I261" s="368"/>
      <c r="J261" s="368"/>
    </row>
    <row r="262" spans="1:10" ht="13">
      <c r="A262" s="432"/>
      <c r="B262" s="354" t="s">
        <v>787</v>
      </c>
      <c r="C262" s="434">
        <f>2.98+2.98+6.96</f>
        <v>12.92</v>
      </c>
      <c r="D262" s="434">
        <v>3</v>
      </c>
      <c r="E262" s="566">
        <f>(1.2*1)*3+(2.1*0.8)</f>
        <v>5.28</v>
      </c>
      <c r="F262" s="566">
        <f>((C262*D262)-E262)</f>
        <v>33.479999999999997</v>
      </c>
      <c r="G262" s="469"/>
      <c r="H262" s="368"/>
      <c r="I262" s="368"/>
      <c r="J262" s="368"/>
    </row>
    <row r="263" spans="1:10" ht="13">
      <c r="A263" s="432"/>
      <c r="B263" s="354" t="s">
        <v>836</v>
      </c>
      <c r="C263" s="434">
        <f>1</f>
        <v>1</v>
      </c>
      <c r="D263" s="434">
        <v>3</v>
      </c>
      <c r="E263" s="566">
        <f>(0.82*1.8)</f>
        <v>1.48</v>
      </c>
      <c r="F263" s="566">
        <f>((C263*D263)-E263)</f>
        <v>1.52</v>
      </c>
      <c r="G263" s="469"/>
      <c r="H263" s="368"/>
      <c r="I263" s="368"/>
      <c r="J263" s="368"/>
    </row>
    <row r="264" spans="1:10" ht="13">
      <c r="A264" s="432"/>
      <c r="B264" s="354" t="s">
        <v>789</v>
      </c>
      <c r="C264" s="434">
        <f>4.74+4.74+4+4</f>
        <v>17.48</v>
      </c>
      <c r="D264" s="434">
        <v>3</v>
      </c>
      <c r="E264" s="566">
        <f>(1.6*2)+(1.2*1)*2+(2.1*0.8)</f>
        <v>7.28</v>
      </c>
      <c r="F264" s="566">
        <f>((C264*D264)-E264)</f>
        <v>45.16</v>
      </c>
      <c r="G264" s="469"/>
      <c r="H264" s="368"/>
      <c r="I264" s="368"/>
      <c r="J264" s="368"/>
    </row>
    <row r="265" spans="1:10" ht="13">
      <c r="A265" s="432"/>
      <c r="B265" s="354" t="s">
        <v>790</v>
      </c>
      <c r="C265" s="434">
        <f>1.32+1.32+4</f>
        <v>6.64</v>
      </c>
      <c r="D265" s="434">
        <v>3</v>
      </c>
      <c r="E265" s="566">
        <f>0.6*0.6</f>
        <v>0.36</v>
      </c>
      <c r="F265" s="566">
        <f t="shared" si="12"/>
        <v>19.56</v>
      </c>
      <c r="G265" s="469"/>
      <c r="H265" s="368"/>
      <c r="I265" s="368"/>
      <c r="J265" s="368"/>
    </row>
    <row r="266" spans="1:10" ht="13">
      <c r="A266" s="432"/>
      <c r="B266" s="354" t="s">
        <v>791</v>
      </c>
      <c r="C266" s="434">
        <f>1.87+1.87+1.81</f>
        <v>5.55</v>
      </c>
      <c r="D266" s="434">
        <v>3</v>
      </c>
      <c r="E266" s="566">
        <f>(0.9*2.1)+(0.6*0.6)</f>
        <v>2.25</v>
      </c>
      <c r="F266" s="566">
        <f>((C266*D266)-E266)</f>
        <v>14.40</v>
      </c>
      <c r="G266" s="469"/>
      <c r="H266" s="368"/>
      <c r="I266" s="368"/>
      <c r="J266" s="368"/>
    </row>
    <row r="267" spans="1:10" ht="13">
      <c r="A267" s="432"/>
      <c r="B267" s="354" t="s">
        <v>792</v>
      </c>
      <c r="C267" s="434">
        <f>1.78*2</f>
        <v>3.56</v>
      </c>
      <c r="D267" s="434">
        <v>3</v>
      </c>
      <c r="E267" s="566">
        <f>(0.9*2.1)+(0.6*0.6)</f>
        <v>2.25</v>
      </c>
      <c r="F267" s="566">
        <f>((C267*D267)-E267)</f>
        <v>8.43</v>
      </c>
      <c r="G267" s="469"/>
      <c r="H267" s="368"/>
      <c r="I267" s="368"/>
      <c r="J267" s="368"/>
    </row>
    <row r="268" spans="1:10" ht="13">
      <c r="A268" s="432"/>
      <c r="B268" s="354" t="s">
        <v>793</v>
      </c>
      <c r="C268" s="434">
        <f>0.95+1.16+2.88+1.76</f>
        <v>6.75</v>
      </c>
      <c r="D268" s="434">
        <v>3</v>
      </c>
      <c r="E268" s="566">
        <f>(0.8*2.1)+(0.6*0.6)</f>
        <v>2.04</v>
      </c>
      <c r="F268" s="566">
        <f>((C268*D268)-E268)</f>
        <v>18.21</v>
      </c>
      <c r="G268" s="469"/>
      <c r="H268" s="368"/>
      <c r="I268" s="368"/>
      <c r="J268" s="368"/>
    </row>
    <row r="269" spans="1:10" ht="13">
      <c r="A269" s="432"/>
      <c r="B269" s="354" t="s">
        <v>794</v>
      </c>
      <c r="C269" s="434">
        <f>0.95+1.16+2.88+1.76</f>
        <v>6.75</v>
      </c>
      <c r="D269" s="434">
        <v>3</v>
      </c>
      <c r="E269" s="566">
        <f>(0.8*2.1)+(0.6*0.6)</f>
        <v>2.04</v>
      </c>
      <c r="F269" s="566">
        <f t="shared" si="12"/>
        <v>18.21</v>
      </c>
      <c r="G269" s="469"/>
      <c r="H269" s="368"/>
      <c r="I269" s="368"/>
      <c r="J269" s="368"/>
    </row>
    <row r="270" spans="1:10" ht="13">
      <c r="A270" s="432"/>
      <c r="B270" s="354" t="s">
        <v>795</v>
      </c>
      <c r="C270" s="434">
        <f>1.2+3.28+0.6</f>
        <v>5.08</v>
      </c>
      <c r="D270" s="434">
        <v>0.80</v>
      </c>
      <c r="E270" s="566">
        <f>0</f>
        <v>0</v>
      </c>
      <c r="F270" s="566">
        <f>((C270*D270)-E270)</f>
        <v>4.0599999999999996</v>
      </c>
      <c r="G270" s="469"/>
      <c r="H270" s="368"/>
      <c r="I270" s="368"/>
      <c r="J270" s="368"/>
    </row>
    <row r="271" spans="1:10" ht="13">
      <c r="A271" s="432"/>
      <c r="B271" s="354" t="s">
        <v>796</v>
      </c>
      <c r="C271" s="434">
        <f>4+2.49+2.49+4</f>
        <v>12.98</v>
      </c>
      <c r="D271" s="434">
        <v>3</v>
      </c>
      <c r="E271" s="566">
        <f>(1.2*1)+(0.9*2.1)+(0.9*2.1)</f>
        <v>4.9800000000000004</v>
      </c>
      <c r="F271" s="566">
        <f>((C271*D271)-E271)</f>
        <v>33.96</v>
      </c>
      <c r="G271" s="469"/>
      <c r="H271" s="368"/>
      <c r="I271" s="368"/>
      <c r="J271" s="368"/>
    </row>
    <row r="272" spans="1:10" ht="13">
      <c r="A272" s="432"/>
      <c r="B272" s="354" t="s">
        <v>797</v>
      </c>
      <c r="C272" s="434">
        <f>2.37+2.37+1.5</f>
        <v>6.24</v>
      </c>
      <c r="D272" s="434">
        <v>3</v>
      </c>
      <c r="E272" s="566">
        <f>0.6*0.6</f>
        <v>0.36</v>
      </c>
      <c r="F272" s="566">
        <f>((C272*D272)-E272)</f>
        <v>18.36</v>
      </c>
      <c r="G272" s="469"/>
      <c r="H272" s="368"/>
      <c r="I272" s="368"/>
      <c r="J272" s="368"/>
    </row>
    <row r="273" spans="1:10" ht="13">
      <c r="A273" s="432"/>
      <c r="B273" s="354" t="s">
        <v>798</v>
      </c>
      <c r="C273" s="434">
        <f>3.785+4+1.41</f>
        <v>9.1999999999999993</v>
      </c>
      <c r="D273" s="434">
        <v>3</v>
      </c>
      <c r="E273" s="566">
        <f>(0.8*2.1)+(0.6*0.6)</f>
        <v>2.04</v>
      </c>
      <c r="F273" s="566">
        <f t="shared" si="13" ref="F273:F282">((C273*D273)-E273)</f>
        <v>25.56</v>
      </c>
      <c r="G273" s="469"/>
      <c r="H273" s="368"/>
      <c r="I273" s="368"/>
      <c r="J273" s="368"/>
    </row>
    <row r="274" spans="1:10" ht="13">
      <c r="A274" s="432"/>
      <c r="B274" s="354" t="s">
        <v>799</v>
      </c>
      <c r="C274" s="434">
        <f>6.14+6.14+4</f>
        <v>16.28</v>
      </c>
      <c r="D274" s="434">
        <v>3</v>
      </c>
      <c r="E274" s="566">
        <f>(1*0.6)+(0.8*2.1)+(1.2*1)</f>
        <v>3.48</v>
      </c>
      <c r="F274" s="566">
        <f t="shared" si="13"/>
        <v>45.36</v>
      </c>
      <c r="G274" s="469"/>
      <c r="H274" s="368"/>
      <c r="I274" s="368"/>
      <c r="J274" s="368"/>
    </row>
    <row r="275" spans="1:10" ht="13">
      <c r="A275" s="432"/>
      <c r="B275" s="354" t="s">
        <v>837</v>
      </c>
      <c r="C275" s="434">
        <f>1+1</f>
        <v>2</v>
      </c>
      <c r="D275" s="434">
        <v>1</v>
      </c>
      <c r="E275" s="566">
        <v>0</v>
      </c>
      <c r="F275" s="566">
        <f t="shared" si="13"/>
        <v>2</v>
      </c>
      <c r="G275" s="469"/>
      <c r="H275" s="368"/>
      <c r="I275" s="368"/>
      <c r="J275" s="368"/>
    </row>
    <row r="276" spans="1:10" ht="13">
      <c r="A276" s="432"/>
      <c r="B276" s="354" t="s">
        <v>836</v>
      </c>
      <c r="C276" s="434">
        <f>1.5</f>
        <v>1.50</v>
      </c>
      <c r="D276" s="434">
        <v>3</v>
      </c>
      <c r="E276" s="566">
        <f>(0.82*1.8)</f>
        <v>1.48</v>
      </c>
      <c r="F276" s="566">
        <f t="shared" si="13"/>
        <v>3.02</v>
      </c>
      <c r="G276" s="469"/>
      <c r="H276" s="368"/>
      <c r="I276" s="368"/>
      <c r="J276" s="368"/>
    </row>
    <row r="277" spans="1:10" ht="13">
      <c r="A277" s="432"/>
      <c r="B277" s="354" t="s">
        <v>800</v>
      </c>
      <c r="C277" s="434">
        <f>2.88+2.88+3.26+3.26</f>
        <v>12.28</v>
      </c>
      <c r="D277" s="434">
        <v>3</v>
      </c>
      <c r="E277" s="566">
        <f>(1*0.6)+(0.8*2.1)</f>
        <v>2.2799999999999998</v>
      </c>
      <c r="F277" s="566">
        <f t="shared" si="13"/>
        <v>34.56</v>
      </c>
      <c r="G277" s="469"/>
      <c r="H277" s="368"/>
      <c r="I277" s="368"/>
      <c r="J277" s="368"/>
    </row>
    <row r="278" spans="1:10" ht="13">
      <c r="A278" s="432"/>
      <c r="B278" s="354" t="s">
        <v>801</v>
      </c>
      <c r="C278" s="434">
        <f>2.88+2.88+3.26</f>
        <v>9.02</v>
      </c>
      <c r="D278" s="434">
        <v>3</v>
      </c>
      <c r="E278" s="566">
        <f>(1*0.6)+(0.8*2.1)</f>
        <v>2.2799999999999998</v>
      </c>
      <c r="F278" s="566">
        <f t="shared" si="13"/>
        <v>24.78</v>
      </c>
      <c r="G278" s="469"/>
      <c r="H278" s="368"/>
      <c r="I278" s="368"/>
      <c r="J278" s="368"/>
    </row>
    <row r="279" spans="1:10" ht="13">
      <c r="A279" s="432"/>
      <c r="B279" s="354" t="s">
        <v>802</v>
      </c>
      <c r="C279" s="434">
        <f>2.88+2.88+3.26</f>
        <v>9.02</v>
      </c>
      <c r="D279" s="434">
        <v>3</v>
      </c>
      <c r="E279" s="566">
        <f>(1*0.6)+(0.8*2.1)</f>
        <v>2.2799999999999998</v>
      </c>
      <c r="F279" s="566">
        <f t="shared" si="13"/>
        <v>24.78</v>
      </c>
      <c r="G279" s="469"/>
      <c r="H279" s="368"/>
      <c r="I279" s="368"/>
      <c r="J279" s="368"/>
    </row>
    <row r="280" spans="1:10" ht="13">
      <c r="A280" s="432"/>
      <c r="B280" s="354" t="s">
        <v>803</v>
      </c>
      <c r="C280" s="434">
        <f>2.88+2.88+3.26</f>
        <v>9.02</v>
      </c>
      <c r="D280" s="434">
        <v>3</v>
      </c>
      <c r="E280" s="566">
        <f>(1*0.6)+(0.8*2.1)</f>
        <v>2.2799999999999998</v>
      </c>
      <c r="F280" s="566">
        <f t="shared" si="13"/>
        <v>24.78</v>
      </c>
      <c r="G280" s="469"/>
      <c r="H280" s="368"/>
      <c r="I280" s="368"/>
      <c r="J280" s="368"/>
    </row>
    <row r="281" spans="1:10" ht="13">
      <c r="A281" s="432"/>
      <c r="B281" s="354" t="s">
        <v>804</v>
      </c>
      <c r="C281" s="434">
        <f>1.95+1.95</f>
        <v>3.90</v>
      </c>
      <c r="D281" s="434">
        <v>3</v>
      </c>
      <c r="E281" s="566">
        <f>(1*0.6)+(0.8*2.1)</f>
        <v>2.2799999999999998</v>
      </c>
      <c r="F281" s="566">
        <f t="shared" si="13"/>
        <v>9.42</v>
      </c>
      <c r="G281" s="469"/>
      <c r="H281" s="368"/>
      <c r="I281" s="368"/>
      <c r="J281" s="368"/>
    </row>
    <row r="282" spans="1:10" ht="13">
      <c r="A282" s="432"/>
      <c r="B282" s="354" t="s">
        <v>805</v>
      </c>
      <c r="C282" s="434">
        <f>4.68+3.44+4.68</f>
        <v>12.80</v>
      </c>
      <c r="D282" s="434">
        <v>3</v>
      </c>
      <c r="E282" s="566">
        <f>2*2.1</f>
        <v>4.20</v>
      </c>
      <c r="F282" s="566">
        <f t="shared" si="13"/>
        <v>34.200000000000003</v>
      </c>
      <c r="G282" s="469"/>
      <c r="H282" s="368"/>
      <c r="I282" s="368"/>
      <c r="J282" s="368"/>
    </row>
    <row r="283" spans="1:7" s="368" customFormat="1" ht="13">
      <c r="A283" s="432"/>
      <c r="B283" s="354" t="s">
        <v>806</v>
      </c>
      <c r="C283" s="434">
        <v>11.12</v>
      </c>
      <c r="D283" s="434">
        <v>3</v>
      </c>
      <c r="E283" s="566">
        <f>(0.8*2.1)+(1.2*1)</f>
        <v>2.88</v>
      </c>
      <c r="F283" s="566">
        <f t="shared" si="14" ref="F283:F289">(C283+D283)-E283</f>
        <v>11.24</v>
      </c>
      <c r="G283" s="469"/>
    </row>
    <row r="284" spans="1:7" s="368" customFormat="1" ht="13">
      <c r="A284" s="432"/>
      <c r="B284" s="354" t="s">
        <v>807</v>
      </c>
      <c r="C284" s="434">
        <v>11.12</v>
      </c>
      <c r="D284" s="434">
        <v>3</v>
      </c>
      <c r="E284" s="566">
        <f>(0.8*2.1)+(1.2*1)</f>
        <v>2.88</v>
      </c>
      <c r="F284" s="566">
        <f t="shared" si="14"/>
        <v>11.24</v>
      </c>
      <c r="G284" s="469"/>
    </row>
    <row r="285" spans="1:10" ht="13">
      <c r="A285" s="432"/>
      <c r="B285" s="354" t="s">
        <v>808</v>
      </c>
      <c r="C285" s="434">
        <v>18</v>
      </c>
      <c r="D285" s="434">
        <v>3</v>
      </c>
      <c r="E285" s="566">
        <f>(0.8*2.1)+(1.2*1)+(1*0.8)</f>
        <v>3.68</v>
      </c>
      <c r="F285" s="566">
        <f t="shared" si="14"/>
        <v>17.32</v>
      </c>
      <c r="G285" s="469"/>
      <c r="H285" s="368"/>
      <c r="I285" s="368"/>
      <c r="J285" s="368"/>
    </row>
    <row r="286" spans="1:10" ht="13">
      <c r="A286" s="432"/>
      <c r="B286" s="354" t="s">
        <v>838</v>
      </c>
      <c r="C286" s="434">
        <v>3</v>
      </c>
      <c r="D286" s="434">
        <v>2.2999999999999998</v>
      </c>
      <c r="E286" s="566">
        <v>0</v>
      </c>
      <c r="F286" s="566">
        <f t="shared" si="14"/>
        <v>5.30</v>
      </c>
      <c r="G286" s="469"/>
      <c r="H286" s="368"/>
      <c r="I286" s="368"/>
      <c r="J286" s="368"/>
    </row>
    <row r="287" spans="1:10" ht="13">
      <c r="A287" s="432"/>
      <c r="B287" s="354" t="s">
        <v>839</v>
      </c>
      <c r="C287" s="434">
        <v>2</v>
      </c>
      <c r="D287" s="434">
        <v>2.2999999999999998</v>
      </c>
      <c r="E287" s="566">
        <v>0</v>
      </c>
      <c r="F287" s="566">
        <f t="shared" si="14"/>
        <v>4.30</v>
      </c>
      <c r="G287" s="469"/>
      <c r="H287" s="368"/>
      <c r="I287" s="368"/>
      <c r="J287" s="368"/>
    </row>
    <row r="288" spans="1:10" ht="13">
      <c r="A288" s="432"/>
      <c r="B288" s="354" t="s">
        <v>840</v>
      </c>
      <c r="C288" s="434">
        <v>2</v>
      </c>
      <c r="D288" s="434">
        <v>2.2999999999999998</v>
      </c>
      <c r="E288" s="566">
        <v>0</v>
      </c>
      <c r="F288" s="566">
        <f t="shared" si="14"/>
        <v>4.30</v>
      </c>
      <c r="G288" s="469"/>
      <c r="H288" s="368"/>
      <c r="I288" s="368"/>
      <c r="J288" s="368"/>
    </row>
    <row r="289" spans="1:10" ht="13">
      <c r="A289" s="432"/>
      <c r="B289" s="354" t="s">
        <v>841</v>
      </c>
      <c r="C289" s="434">
        <f>9.39+42.37+36.89+25.56+10.12+3.3</f>
        <v>127.63</v>
      </c>
      <c r="D289" s="434">
        <v>2</v>
      </c>
      <c r="E289" s="566">
        <f>(0.8*2)+(4+2)</f>
        <v>7.60</v>
      </c>
      <c r="F289" s="566">
        <f t="shared" si="14"/>
        <v>122.03</v>
      </c>
      <c r="G289" s="469"/>
      <c r="H289" s="368"/>
      <c r="I289" s="368"/>
      <c r="J289" s="368"/>
    </row>
    <row r="290" spans="1:10" ht="13">
      <c r="A290" s="432"/>
      <c r="B290" s="567"/>
      <c r="C290" s="567"/>
      <c r="D290" s="434"/>
      <c r="E290" s="567" t="s">
        <v>311</v>
      </c>
      <c r="F290" s="568">
        <f>SUM(F255:F289)</f>
        <v>751.48</v>
      </c>
      <c r="G290" s="469"/>
      <c r="H290" s="368"/>
      <c r="I290" s="368"/>
      <c r="J290" s="368"/>
    </row>
    <row r="291" spans="1:7" ht="13">
      <c r="A291" s="562"/>
      <c r="B291" s="563"/>
      <c r="C291" s="482"/>
      <c r="G291" s="564"/>
    </row>
    <row r="292" spans="1:10" ht="13">
      <c r="A292" s="432" t="str">
        <f>medição!A46</f>
        <v>8.2</v>
      </c>
      <c r="B292" s="430" t="str">
        <f>medição!B46</f>
        <v>CHAPISCO APLICADO EM ALVENARIAS E ESTRUTURAS DE CONCRETO INTERNAS, COM COLHER DE PEDREIRO. ARGAMASSA TRAÇO 1:3 COM PREPARO MANUAL. AF_06/2014</v>
      </c>
      <c r="C292" s="430"/>
      <c r="D292" s="430"/>
      <c r="E292" s="430"/>
      <c r="F292" s="430"/>
      <c r="G292" s="430"/>
      <c r="H292" s="430"/>
      <c r="I292" s="430"/>
      <c r="J292" s="430"/>
    </row>
    <row r="293" spans="1:10" ht="13">
      <c r="A293" s="432"/>
      <c r="B293" s="345" t="s">
        <v>306</v>
      </c>
      <c r="C293" s="345" t="s">
        <v>741</v>
      </c>
      <c r="D293" s="345" t="s">
        <v>740</v>
      </c>
      <c r="E293" s="364" t="s">
        <v>835</v>
      </c>
      <c r="F293" s="364" t="s">
        <v>309</v>
      </c>
      <c r="G293" s="469"/>
      <c r="H293" s="469"/>
      <c r="I293" s="368"/>
      <c r="J293" s="368"/>
    </row>
    <row r="294" spans="1:10" ht="13">
      <c r="A294" s="432"/>
      <c r="B294" s="528" t="s">
        <v>746</v>
      </c>
      <c r="C294" s="345"/>
      <c r="D294" s="345"/>
      <c r="E294" s="364"/>
      <c r="F294" s="364"/>
      <c r="G294" s="469"/>
      <c r="H294" s="469"/>
      <c r="I294" s="368"/>
      <c r="J294" s="368"/>
    </row>
    <row r="295" spans="1:7" s="368" customFormat="1" ht="13">
      <c r="A295" s="432"/>
      <c r="B295" s="354" t="s">
        <v>780</v>
      </c>
      <c r="C295" s="434">
        <f>9+4.86</f>
        <v>13.86</v>
      </c>
      <c r="D295" s="434">
        <v>3</v>
      </c>
      <c r="E295" s="566">
        <f>(1*0.6)+(0.8*2.1)</f>
        <v>2.2799999999999998</v>
      </c>
      <c r="F295" s="566">
        <f>((C295*D295)-E295)</f>
        <v>39.299999999999997</v>
      </c>
      <c r="G295" s="469"/>
    </row>
    <row r="296" spans="1:7" s="368" customFormat="1" ht="13">
      <c r="A296" s="432"/>
      <c r="B296" s="354" t="s">
        <v>781</v>
      </c>
      <c r="C296" s="434">
        <f>10+3.1</f>
        <v>13.10</v>
      </c>
      <c r="D296" s="434">
        <v>3</v>
      </c>
      <c r="E296" s="566">
        <f>((0.8*2.1))+(0.6*0.6)+(0.9*2.1)</f>
        <v>3.93</v>
      </c>
      <c r="F296" s="566">
        <f>((C296*D296)-E296)</f>
        <v>35.369999999999997</v>
      </c>
      <c r="G296" s="469"/>
    </row>
    <row r="297" spans="1:10" ht="13">
      <c r="A297" s="432"/>
      <c r="B297" s="354" t="s">
        <v>782</v>
      </c>
      <c r="C297" s="434">
        <f>11.04+2.64</f>
        <v>13.68</v>
      </c>
      <c r="D297" s="434">
        <v>3</v>
      </c>
      <c r="E297" s="566">
        <f>(2.1*0.8)+(0.6*0.6)</f>
        <v>2.04</v>
      </c>
      <c r="F297" s="566">
        <f>((C297*D297)-E297)</f>
        <v>39</v>
      </c>
      <c r="G297" s="469"/>
      <c r="H297" s="368"/>
      <c r="I297" s="368"/>
      <c r="J297" s="368"/>
    </row>
    <row r="298" spans="1:7" s="368" customFormat="1" ht="13">
      <c r="A298" s="432"/>
      <c r="B298" s="354" t="s">
        <v>783</v>
      </c>
      <c r="C298" s="434">
        <f>8.4+1.32</f>
        <v>9.7200000000000006</v>
      </c>
      <c r="D298" s="434">
        <v>3</v>
      </c>
      <c r="E298" s="566">
        <f>(2.1*0.8)+(0.6*0.6)</f>
        <v>2.04</v>
      </c>
      <c r="F298" s="566">
        <f>((C298*D298)-E298)</f>
        <v>27.12</v>
      </c>
      <c r="G298" s="469"/>
    </row>
    <row r="299" spans="1:10" ht="13">
      <c r="A299" s="432"/>
      <c r="B299" s="354" t="s">
        <v>784</v>
      </c>
      <c r="C299" s="434">
        <f>8.04+1.4</f>
        <v>9.44</v>
      </c>
      <c r="D299" s="434">
        <v>3</v>
      </c>
      <c r="E299" s="566">
        <f>(0.6*0.6)+(0.8*2.1)</f>
        <v>2.04</v>
      </c>
      <c r="F299" s="566">
        <f>((C299*D299)-E299)</f>
        <v>26.28</v>
      </c>
      <c r="G299" s="469"/>
      <c r="H299" s="368"/>
      <c r="I299" s="368"/>
      <c r="J299" s="368"/>
    </row>
    <row r="300" spans="1:7" s="368" customFormat="1" ht="13">
      <c r="A300" s="432"/>
      <c r="B300" s="354" t="s">
        <v>785</v>
      </c>
      <c r="C300" s="434">
        <f>8.3+1.27</f>
        <v>9.57</v>
      </c>
      <c r="D300" s="434">
        <v>3</v>
      </c>
      <c r="E300" s="566">
        <f>(0.6*0.6)+(0.8*2.1)</f>
        <v>2.04</v>
      </c>
      <c r="F300" s="566">
        <f t="shared" si="15" ref="F300:F301">((C300*D300)-E300)</f>
        <v>26.67</v>
      </c>
      <c r="G300" s="469"/>
    </row>
    <row r="301" spans="1:10" ht="13">
      <c r="A301" s="432"/>
      <c r="B301" s="354" t="s">
        <v>786</v>
      </c>
      <c r="C301" s="434">
        <f>8.3+1.27</f>
        <v>9.57</v>
      </c>
      <c r="D301" s="434">
        <v>3</v>
      </c>
      <c r="E301" s="566">
        <f>(0.6*0.6)+(0.8*2.1)</f>
        <v>2.04</v>
      </c>
      <c r="F301" s="566">
        <f t="shared" si="15"/>
        <v>26.67</v>
      </c>
      <c r="G301" s="469"/>
      <c r="H301" s="368"/>
      <c r="I301" s="368"/>
      <c r="J301" s="368"/>
    </row>
    <row r="302" spans="1:7" s="368" customFormat="1" ht="13">
      <c r="A302" s="432"/>
      <c r="B302" s="354" t="s">
        <v>787</v>
      </c>
      <c r="C302" s="434">
        <f>19.4+13.28</f>
        <v>32.68</v>
      </c>
      <c r="D302" s="434">
        <v>3</v>
      </c>
      <c r="E302" s="566">
        <f>(2.1*0.8)+(1.2*1)*3</f>
        <v>5.28</v>
      </c>
      <c r="F302" s="566">
        <f>((C302*D302)-E302)</f>
        <v>92.76</v>
      </c>
      <c r="G302" s="469"/>
    </row>
    <row r="303" spans="1:7" s="368" customFormat="1" ht="13">
      <c r="A303" s="432"/>
      <c r="B303" s="354" t="s">
        <v>788</v>
      </c>
      <c r="C303" s="434">
        <v>25.02</v>
      </c>
      <c r="D303" s="434">
        <v>3</v>
      </c>
      <c r="E303" s="566">
        <f>(0.8*2.1*8)+(0.82*1.8)</f>
        <v>14.92</v>
      </c>
      <c r="F303" s="566">
        <f>((C303*D303)-E303)</f>
        <v>60.14</v>
      </c>
      <c r="G303" s="469"/>
    </row>
    <row r="304" spans="1:7" s="368" customFormat="1" ht="13">
      <c r="A304" s="432"/>
      <c r="B304" s="354" t="s">
        <v>789</v>
      </c>
      <c r="C304" s="434">
        <f>17+4.74</f>
        <v>21.74</v>
      </c>
      <c r="D304" s="434">
        <v>3</v>
      </c>
      <c r="E304" s="566">
        <f>(0.8*2.1*2)+(1.2*1*2)</f>
        <v>5.76</v>
      </c>
      <c r="F304" s="566">
        <f>((C304*D304)-E304)</f>
        <v>59.46</v>
      </c>
      <c r="G304" s="469"/>
    </row>
    <row r="305" spans="1:7" s="368" customFormat="1" ht="13">
      <c r="A305" s="432"/>
      <c r="B305" s="354" t="s">
        <v>790</v>
      </c>
      <c r="C305" s="434">
        <f>10.4+1.32+2.19</f>
        <v>13.91</v>
      </c>
      <c r="D305" s="434">
        <v>3</v>
      </c>
      <c r="E305" s="566">
        <f>(0.8*2.1)+(0.6*0.6)</f>
        <v>2.04</v>
      </c>
      <c r="F305" s="566">
        <f t="shared" si="16" ref="F305">((C305*D305)-E305)</f>
        <v>39.69</v>
      </c>
      <c r="G305" s="469"/>
    </row>
    <row r="306" spans="1:7" s="368" customFormat="1" ht="13">
      <c r="A306" s="432"/>
      <c r="B306" s="354" t="s">
        <v>791</v>
      </c>
      <c r="C306" s="434">
        <f>7.18+1.9+1.5</f>
        <v>10.58</v>
      </c>
      <c r="D306" s="434">
        <v>3</v>
      </c>
      <c r="E306" s="566">
        <f>(0.9*2.1)+(0.6*0.6)</f>
        <v>2.25</v>
      </c>
      <c r="F306" s="566">
        <f>((C306*D306)-E306)</f>
        <v>29.49</v>
      </c>
      <c r="G306" s="469"/>
    </row>
    <row r="307" spans="1:10" ht="13">
      <c r="A307" s="432"/>
      <c r="B307" s="354" t="s">
        <v>792</v>
      </c>
      <c r="C307" s="434">
        <f>7.18+1.9+1.5</f>
        <v>10.58</v>
      </c>
      <c r="D307" s="434">
        <v>3</v>
      </c>
      <c r="E307" s="566">
        <f>(0.9*2.1)+(0.6*0.6)</f>
        <v>2.25</v>
      </c>
      <c r="F307" s="566">
        <f>((C307*D307)-E307)</f>
        <v>29.49</v>
      </c>
      <c r="G307" s="469"/>
      <c r="H307" s="368"/>
      <c r="I307" s="368"/>
      <c r="J307" s="368"/>
    </row>
    <row r="308" spans="1:7" s="368" customFormat="1" ht="13">
      <c r="A308" s="432"/>
      <c r="B308" s="354" t="s">
        <v>793</v>
      </c>
      <c r="C308" s="434">
        <f>8.4+1.16+0.95</f>
        <v>10.51</v>
      </c>
      <c r="D308" s="434">
        <v>3</v>
      </c>
      <c r="E308" s="566">
        <f>(0.8*2.1)+(0.6*0.6)</f>
        <v>2.04</v>
      </c>
      <c r="F308" s="566">
        <f>((C308*D308)-E308)</f>
        <v>29.49</v>
      </c>
      <c r="G308" s="469"/>
    </row>
    <row r="309" spans="1:7" s="368" customFormat="1" ht="13">
      <c r="A309" s="432"/>
      <c r="B309" s="354" t="s">
        <v>794</v>
      </c>
      <c r="C309" s="434">
        <f>8.4+1.16+0.95</f>
        <v>10.51</v>
      </c>
      <c r="D309" s="434">
        <v>3</v>
      </c>
      <c r="E309" s="566">
        <f>(0.8*2.1)+(0.6*0.6)</f>
        <v>2.04</v>
      </c>
      <c r="F309" s="566">
        <f t="shared" si="17" ref="F309">((C309*D309)-E309)</f>
        <v>29.49</v>
      </c>
      <c r="G309" s="469"/>
    </row>
    <row r="310" spans="1:7" s="368" customFormat="1" ht="13">
      <c r="A310" s="432"/>
      <c r="B310" s="354" t="s">
        <v>795</v>
      </c>
      <c r="C310" s="434">
        <f>3.88+0.2+0.92</f>
        <v>5</v>
      </c>
      <c r="D310" s="434">
        <v>0.80</v>
      </c>
      <c r="E310" s="566">
        <f>0</f>
        <v>0</v>
      </c>
      <c r="F310" s="566">
        <f>((C310*D310)-E310)</f>
        <v>4</v>
      </c>
      <c r="G310" s="469"/>
    </row>
    <row r="311" spans="1:7" s="368" customFormat="1" ht="13">
      <c r="A311" s="432"/>
      <c r="B311" s="354" t="s">
        <v>796</v>
      </c>
      <c r="C311" s="434">
        <f>12.5+2.19+2.37</f>
        <v>17.06</v>
      </c>
      <c r="D311" s="434">
        <v>3</v>
      </c>
      <c r="E311" s="566">
        <f>(0.8*2.1)+(1.2*1)+(0.9*2.1)</f>
        <v>4.7699999999999996</v>
      </c>
      <c r="F311" s="566">
        <f>((C311*D311)-E311)</f>
        <v>46.41</v>
      </c>
      <c r="G311" s="469"/>
    </row>
    <row r="312" spans="1:7" s="368" customFormat="1" ht="13">
      <c r="A312" s="432"/>
      <c r="B312" s="354" t="s">
        <v>797</v>
      </c>
      <c r="C312" s="434">
        <f>7.5+2.37</f>
        <v>9.8699999999999992</v>
      </c>
      <c r="D312" s="434">
        <v>3</v>
      </c>
      <c r="E312" s="566">
        <f>(0.9*2.1)+(0.6*0.6)</f>
        <v>2.25</v>
      </c>
      <c r="F312" s="566">
        <f>((C312*D312)-E312)</f>
        <v>27.36</v>
      </c>
      <c r="G312" s="469"/>
    </row>
    <row r="313" spans="1:7" s="368" customFormat="1" ht="13">
      <c r="A313" s="432"/>
      <c r="B313" s="354" t="s">
        <v>798</v>
      </c>
      <c r="C313" s="434">
        <f>15.33+1.4</f>
        <v>16.73</v>
      </c>
      <c r="D313" s="434">
        <v>3</v>
      </c>
      <c r="E313" s="566">
        <f>(0.8*2.1)+(0.6*0.6)</f>
        <v>2.04</v>
      </c>
      <c r="F313" s="566">
        <f t="shared" si="18" ref="F313:F323">((C313*D313)-E313)</f>
        <v>48.15</v>
      </c>
      <c r="G313" s="469"/>
    </row>
    <row r="314" spans="1:7" s="368" customFormat="1" ht="13">
      <c r="A314" s="432"/>
      <c r="B314" s="354" t="s">
        <v>799</v>
      </c>
      <c r="C314" s="434">
        <f>20.04+10.38</f>
        <v>30.42</v>
      </c>
      <c r="D314" s="434">
        <v>3</v>
      </c>
      <c r="E314" s="566">
        <f>(0.8*2.1)+(1.2*1*2)+(1*0.6)</f>
        <v>4.68</v>
      </c>
      <c r="F314" s="566">
        <f t="shared" si="18"/>
        <v>86.58</v>
      </c>
      <c r="G314" s="469"/>
    </row>
    <row r="315" spans="1:7" s="368" customFormat="1" ht="13">
      <c r="A315" s="432"/>
      <c r="B315" s="354" t="s">
        <v>837</v>
      </c>
      <c r="C315" s="434">
        <f>2.12*2</f>
        <v>4.24</v>
      </c>
      <c r="D315" s="434">
        <v>1</v>
      </c>
      <c r="E315" s="566">
        <v>0</v>
      </c>
      <c r="F315" s="566">
        <f t="shared" si="18"/>
        <v>4.24</v>
      </c>
      <c r="G315" s="469"/>
    </row>
    <row r="316" spans="1:7" s="368" customFormat="1" ht="13">
      <c r="A316" s="432"/>
      <c r="B316" s="354" t="s">
        <v>809</v>
      </c>
      <c r="C316" s="434">
        <f>7.56+6.06</f>
        <v>13.62</v>
      </c>
      <c r="D316" s="434">
        <v>3</v>
      </c>
      <c r="E316" s="566">
        <f>(0.8*2.1*2)+(1*0.8)+(1.6*2.1)+(7.14)</f>
        <v>14.66</v>
      </c>
      <c r="F316" s="566">
        <f t="shared" si="18"/>
        <v>26.20</v>
      </c>
      <c r="G316" s="469"/>
    </row>
    <row r="317" spans="1:7" s="368" customFormat="1" ht="13">
      <c r="A317" s="432"/>
      <c r="B317" s="354" t="s">
        <v>810</v>
      </c>
      <c r="C317" s="434">
        <f>27.38+3</f>
        <v>30.38</v>
      </c>
      <c r="D317" s="434">
        <v>3</v>
      </c>
      <c r="E317" s="566">
        <f>(0.8*2.1*7)+(1.5*1.8)</f>
        <v>14.46</v>
      </c>
      <c r="F317" s="566">
        <f t="shared" si="19" ref="F317">((C317*D317)-E317)</f>
        <v>76.680000000000007</v>
      </c>
      <c r="G317" s="469"/>
    </row>
    <row r="318" spans="1:10" ht="13">
      <c r="A318" s="432"/>
      <c r="B318" s="354" t="s">
        <v>800</v>
      </c>
      <c r="C318" s="434">
        <f>12.04+6.5</f>
        <v>18.54</v>
      </c>
      <c r="D318" s="434">
        <v>3</v>
      </c>
      <c r="E318" s="566">
        <f>(0.8*2.1)+(1*1.2)</f>
        <v>2.88</v>
      </c>
      <c r="F318" s="566">
        <f t="shared" si="18"/>
        <v>52.74</v>
      </c>
      <c r="G318" s="469"/>
      <c r="H318" s="368"/>
      <c r="I318" s="368"/>
      <c r="J318" s="368"/>
    </row>
    <row r="319" spans="1:10" ht="13">
      <c r="A319" s="432"/>
      <c r="B319" s="354" t="s">
        <v>801</v>
      </c>
      <c r="C319" s="434">
        <f>12.04+2.88</f>
        <v>14.92</v>
      </c>
      <c r="D319" s="434">
        <v>3</v>
      </c>
      <c r="E319" s="566">
        <f>(0.8*2.1)+(1.2*1)</f>
        <v>2.88</v>
      </c>
      <c r="F319" s="566">
        <f t="shared" si="18"/>
        <v>41.88</v>
      </c>
      <c r="G319" s="469"/>
      <c r="H319" s="368"/>
      <c r="I319" s="368"/>
      <c r="J319" s="368"/>
    </row>
    <row r="320" spans="1:10" ht="13">
      <c r="A320" s="432"/>
      <c r="B320" s="354" t="s">
        <v>802</v>
      </c>
      <c r="C320" s="434">
        <f>12.04+2.88</f>
        <v>14.92</v>
      </c>
      <c r="D320" s="434">
        <v>3</v>
      </c>
      <c r="E320" s="566">
        <f>(1.2*1)+(2.1*0.8)</f>
        <v>2.88</v>
      </c>
      <c r="F320" s="566">
        <f t="shared" si="18"/>
        <v>41.88</v>
      </c>
      <c r="G320" s="469"/>
      <c r="H320" s="368"/>
      <c r="I320" s="368"/>
      <c r="J320" s="368"/>
    </row>
    <row r="321" spans="1:10" ht="13">
      <c r="A321" s="432"/>
      <c r="B321" s="354" t="s">
        <v>803</v>
      </c>
      <c r="C321" s="434">
        <f>12.04+2.88</f>
        <v>14.92</v>
      </c>
      <c r="D321" s="434">
        <v>3</v>
      </c>
      <c r="E321" s="566">
        <f>(0.8*2.1)+(1*1.2)</f>
        <v>2.88</v>
      </c>
      <c r="F321" s="566">
        <f t="shared" si="18"/>
        <v>41.88</v>
      </c>
      <c r="G321" s="469"/>
      <c r="H321" s="368"/>
      <c r="I321" s="368"/>
      <c r="J321" s="368"/>
    </row>
    <row r="322" spans="1:10" ht="13">
      <c r="A322" s="432"/>
      <c r="B322" s="354" t="s">
        <v>804</v>
      </c>
      <c r="C322" s="434">
        <f>10.42+1.95</f>
        <v>12.37</v>
      </c>
      <c r="D322" s="434">
        <v>3</v>
      </c>
      <c r="E322" s="566">
        <f>(0.8*2.1)+(1*1.2)</f>
        <v>2.88</v>
      </c>
      <c r="F322" s="566">
        <f t="shared" si="18"/>
        <v>34.229999999999997</v>
      </c>
      <c r="G322" s="469"/>
      <c r="H322" s="368"/>
      <c r="I322" s="368"/>
      <c r="J322" s="368"/>
    </row>
    <row r="323" spans="1:10" ht="13">
      <c r="A323" s="432"/>
      <c r="B323" s="354" t="s">
        <v>805</v>
      </c>
      <c r="C323" s="434">
        <f>12.56+6.04</f>
        <v>18.60</v>
      </c>
      <c r="D323" s="434">
        <v>3</v>
      </c>
      <c r="E323" s="566">
        <f>(2*2.1*2)</f>
        <v>8.40</v>
      </c>
      <c r="F323" s="566">
        <f t="shared" si="18"/>
        <v>47.40</v>
      </c>
      <c r="G323" s="469"/>
      <c r="H323" s="368"/>
      <c r="I323" s="368"/>
      <c r="J323" s="368"/>
    </row>
    <row r="324" spans="1:7" s="368" customFormat="1" ht="13">
      <c r="A324" s="432"/>
      <c r="B324" s="354" t="s">
        <v>806</v>
      </c>
      <c r="C324" s="434">
        <f>11.12+2.42</f>
        <v>13.54</v>
      </c>
      <c r="D324" s="434">
        <v>3</v>
      </c>
      <c r="E324" s="566">
        <f>(0.8*2.1)+(1*1.2)</f>
        <v>2.88</v>
      </c>
      <c r="F324" s="566">
        <f t="shared" si="20" ref="F324:F330">(C324+D324)-E324</f>
        <v>13.66</v>
      </c>
      <c r="G324" s="469"/>
    </row>
    <row r="325" spans="1:7" s="368" customFormat="1" ht="13">
      <c r="A325" s="432"/>
      <c r="B325" s="354" t="s">
        <v>807</v>
      </c>
      <c r="C325" s="434">
        <f>11.02+2.3</f>
        <v>13.32</v>
      </c>
      <c r="D325" s="434">
        <v>3</v>
      </c>
      <c r="E325" s="566">
        <f>(0.8*2.1)+(1*1.2)</f>
        <v>2.88</v>
      </c>
      <c r="F325" s="566">
        <f t="shared" si="20"/>
        <v>13.44</v>
      </c>
      <c r="G325" s="469"/>
    </row>
    <row r="326" spans="1:10" ht="13">
      <c r="A326" s="432"/>
      <c r="B326" s="354" t="s">
        <v>808</v>
      </c>
      <c r="C326" s="434">
        <f>18+3.26</f>
        <v>21.26</v>
      </c>
      <c r="D326" s="434">
        <v>3</v>
      </c>
      <c r="E326" s="566">
        <f>(0.8*2.1)+(1*1.2)+(1*0.8)</f>
        <v>3.68</v>
      </c>
      <c r="F326" s="566">
        <f t="shared" si="20"/>
        <v>20.58</v>
      </c>
      <c r="G326" s="469"/>
      <c r="H326" s="368"/>
      <c r="I326" s="368"/>
      <c r="J326" s="368"/>
    </row>
    <row r="327" spans="1:10" ht="13">
      <c r="A327" s="432"/>
      <c r="B327" s="354" t="s">
        <v>838</v>
      </c>
      <c r="C327" s="434">
        <f>2.36*3</f>
        <v>7.08</v>
      </c>
      <c r="D327" s="434">
        <v>2.2999999999999998</v>
      </c>
      <c r="E327" s="566">
        <v>0</v>
      </c>
      <c r="F327" s="566">
        <f t="shared" si="20"/>
        <v>9.3800000000000008</v>
      </c>
      <c r="G327" s="469"/>
      <c r="H327" s="368"/>
      <c r="I327" s="368"/>
      <c r="J327" s="368"/>
    </row>
    <row r="328" spans="1:10" ht="13">
      <c r="A328" s="432"/>
      <c r="B328" s="354" t="s">
        <v>839</v>
      </c>
      <c r="C328" s="434">
        <f>1+1.24</f>
        <v>2.2400000000000002</v>
      </c>
      <c r="D328" s="434">
        <v>2.2999999999999998</v>
      </c>
      <c r="E328" s="566">
        <v>0</v>
      </c>
      <c r="F328" s="566">
        <f t="shared" si="20"/>
        <v>4.54</v>
      </c>
      <c r="G328" s="469"/>
      <c r="H328" s="368"/>
      <c r="I328" s="368"/>
      <c r="J328" s="368"/>
    </row>
    <row r="329" spans="1:10" ht="13">
      <c r="A329" s="432"/>
      <c r="B329" s="354" t="s">
        <v>840</v>
      </c>
      <c r="C329" s="434">
        <f>3.24+2.24</f>
        <v>5.48</v>
      </c>
      <c r="D329" s="434">
        <v>2.2999999999999998</v>
      </c>
      <c r="E329" s="566">
        <v>0</v>
      </c>
      <c r="F329" s="566">
        <f t="shared" si="20"/>
        <v>7.78</v>
      </c>
      <c r="G329" s="469"/>
      <c r="H329" s="368"/>
      <c r="I329" s="368"/>
      <c r="J329" s="368"/>
    </row>
    <row r="330" spans="1:10" ht="13">
      <c r="A330" s="432"/>
      <c r="B330" s="354" t="s">
        <v>841</v>
      </c>
      <c r="C330" s="434">
        <f>10.11+3.18+25.45+36.91+42.13+9.39</f>
        <v>127.17</v>
      </c>
      <c r="D330" s="434">
        <v>2</v>
      </c>
      <c r="E330" s="566">
        <f>(0.8*2)+(4*2)</f>
        <v>9.60</v>
      </c>
      <c r="F330" s="566">
        <f t="shared" si="20"/>
        <v>119.57</v>
      </c>
      <c r="G330" s="469"/>
      <c r="H330" s="368"/>
      <c r="I330" s="368"/>
      <c r="J330" s="368"/>
    </row>
    <row r="331" spans="1:10" ht="13">
      <c r="A331" s="432"/>
      <c r="B331" s="354" t="s">
        <v>842</v>
      </c>
      <c r="C331" s="569" t="s">
        <v>843</v>
      </c>
      <c r="D331" s="570"/>
      <c r="E331" s="571"/>
      <c r="F331" s="566">
        <f>5.75*2</f>
        <v>11.50</v>
      </c>
      <c r="G331" s="469"/>
      <c r="H331" s="368"/>
      <c r="I331" s="368"/>
      <c r="J331" s="368"/>
    </row>
    <row r="332" spans="1:10" ht="13">
      <c r="A332" s="432"/>
      <c r="B332" s="364" t="s">
        <v>844</v>
      </c>
      <c r="C332" s="471"/>
      <c r="D332" s="471"/>
      <c r="E332" s="471"/>
      <c r="F332" s="572"/>
      <c r="G332" s="469"/>
      <c r="H332" s="368"/>
      <c r="I332" s="368"/>
      <c r="J332" s="368"/>
    </row>
    <row r="333" spans="1:10" ht="13">
      <c r="A333" s="432"/>
      <c r="B333" s="462" t="s">
        <v>845</v>
      </c>
      <c r="C333" s="434">
        <f>(17.5)+(37.2)+(14.24)</f>
        <v>68.94</v>
      </c>
      <c r="D333" s="434">
        <v>2</v>
      </c>
      <c r="E333" s="566">
        <f>(0.8*2)+(1.2*2)</f>
        <v>4</v>
      </c>
      <c r="F333" s="566">
        <f t="shared" si="21" ref="F333:F334">(C333+D333)-E333</f>
        <v>66.94</v>
      </c>
      <c r="G333" s="469"/>
      <c r="H333" s="368"/>
      <c r="I333" s="368"/>
      <c r="J333" s="368"/>
    </row>
    <row r="334" spans="1:10" ht="13">
      <c r="A334" s="432"/>
      <c r="B334" s="354" t="s">
        <v>841</v>
      </c>
      <c r="C334" s="434">
        <f>3.3+10.24+25.56+37.13+42.37+9.51</f>
        <v>128.11000000000001</v>
      </c>
      <c r="D334" s="434">
        <v>2</v>
      </c>
      <c r="E334" s="566">
        <f>(0.8*2)+(4*2)</f>
        <v>9.60</v>
      </c>
      <c r="F334" s="566">
        <f t="shared" si="21"/>
        <v>120.51</v>
      </c>
      <c r="G334" s="469"/>
      <c r="H334" s="368"/>
      <c r="I334" s="368"/>
      <c r="J334" s="368"/>
    </row>
    <row r="335" spans="1:10" ht="13">
      <c r="A335" s="432"/>
      <c r="B335" s="354" t="s">
        <v>842</v>
      </c>
      <c r="C335" s="569" t="s">
        <v>843</v>
      </c>
      <c r="D335" s="570"/>
      <c r="E335" s="571"/>
      <c r="F335" s="566">
        <f>5.75*2</f>
        <v>11.50</v>
      </c>
      <c r="G335" s="469"/>
      <c r="H335" s="368"/>
      <c r="I335" s="368"/>
      <c r="J335" s="368"/>
    </row>
    <row r="336" spans="1:10" ht="13">
      <c r="A336" s="432"/>
      <c r="B336" s="567"/>
      <c r="C336" s="567"/>
      <c r="D336" s="434"/>
      <c r="E336" s="567" t="s">
        <v>311</v>
      </c>
      <c r="F336" s="568">
        <f>SUM(F295:F335)</f>
        <v>1569.45</v>
      </c>
      <c r="G336" s="469"/>
      <c r="H336" s="498"/>
      <c r="I336" s="368"/>
      <c r="J336" s="368"/>
    </row>
    <row r="337" spans="1:7" ht="13">
      <c r="A337" s="562"/>
      <c r="B337" s="563"/>
      <c r="C337" s="482"/>
      <c r="G337" s="564"/>
    </row>
    <row r="338" spans="1:10" ht="13">
      <c r="A338" s="432" t="str">
        <f>medição!A47</f>
        <v>8.3</v>
      </c>
      <c r="B338" s="430" t="str">
        <f>medição!B47</f>
        <v>MASSA ÚNICA, PARA RECEBIMENTO DE PINTURA, EM ARGAMASSA TRAÇO 1:2:8, PREPARO MECÂNICO COM BETONEIRA 400L, APLICADA MANUALMENTE</v>
      </c>
      <c r="C338" s="430"/>
      <c r="D338" s="430"/>
      <c r="E338" s="430"/>
      <c r="F338" s="430"/>
      <c r="G338" s="430"/>
      <c r="H338" s="430"/>
      <c r="I338" s="430"/>
      <c r="J338" s="430"/>
    </row>
    <row r="339" spans="1:10" ht="13">
      <c r="A339" s="432"/>
      <c r="B339" s="345" t="s">
        <v>306</v>
      </c>
      <c r="C339" s="345" t="s">
        <v>741</v>
      </c>
      <c r="D339" s="345" t="s">
        <v>740</v>
      </c>
      <c r="E339" s="364" t="s">
        <v>835</v>
      </c>
      <c r="F339" s="364" t="s">
        <v>309</v>
      </c>
      <c r="G339" s="469"/>
      <c r="H339" s="469"/>
      <c r="I339" s="368"/>
      <c r="J339" s="368"/>
    </row>
    <row r="340" spans="1:10" ht="13">
      <c r="A340" s="432"/>
      <c r="B340" s="528" t="s">
        <v>746</v>
      </c>
      <c r="C340" s="345"/>
      <c r="D340" s="345"/>
      <c r="E340" s="364"/>
      <c r="F340" s="364"/>
      <c r="G340" s="469"/>
      <c r="H340" s="469"/>
      <c r="I340" s="368"/>
      <c r="J340" s="368"/>
    </row>
    <row r="341" spans="1:8" s="368" customFormat="1" ht="13">
      <c r="A341" s="432"/>
      <c r="B341" s="354" t="s">
        <v>780</v>
      </c>
      <c r="C341" s="434">
        <f>9+4.86</f>
        <v>13.86</v>
      </c>
      <c r="D341" s="434">
        <v>1.20</v>
      </c>
      <c r="E341" s="566">
        <f>(1*0.3)+(0.8*0.3)</f>
        <v>0.54</v>
      </c>
      <c r="F341" s="566">
        <f>((C341*D341)-E341)</f>
        <v>16.09</v>
      </c>
      <c r="G341" s="469"/>
      <c r="H341" s="498"/>
    </row>
    <row r="342" spans="1:7" s="368" customFormat="1" ht="13">
      <c r="A342" s="432"/>
      <c r="B342" s="354" t="s">
        <v>781</v>
      </c>
      <c r="C342" s="434">
        <f>10+3.1</f>
        <v>13.10</v>
      </c>
      <c r="D342" s="434">
        <v>1.20</v>
      </c>
      <c r="E342" s="566">
        <f>(0.6*0.3)+(0.8*0.3)</f>
        <v>0.42</v>
      </c>
      <c r="F342" s="566">
        <f>((C342*D342)-E342)</f>
        <v>15.30</v>
      </c>
      <c r="G342" s="469"/>
    </row>
    <row r="343" spans="1:10" ht="13">
      <c r="A343" s="432"/>
      <c r="B343" s="354" t="s">
        <v>782</v>
      </c>
      <c r="C343" s="434">
        <f>11.04+2.64</f>
        <v>13.68</v>
      </c>
      <c r="D343" s="434">
        <v>1.20</v>
      </c>
      <c r="E343" s="566">
        <f>(0.3*0.8)+(0.6*0.3)*2</f>
        <v>0.60</v>
      </c>
      <c r="F343" s="566">
        <f>((C343*D343)-E343)</f>
        <v>15.82</v>
      </c>
      <c r="G343" s="469"/>
      <c r="H343" s="368"/>
      <c r="I343" s="368"/>
      <c r="J343" s="368"/>
    </row>
    <row r="344" spans="1:8" s="368" customFormat="1" ht="13">
      <c r="A344" s="432"/>
      <c r="B344" s="354" t="s">
        <v>783</v>
      </c>
      <c r="C344" s="434">
        <f>8.4+1.32</f>
        <v>9.7200000000000006</v>
      </c>
      <c r="D344" s="434">
        <v>1.20</v>
      </c>
      <c r="E344" s="566">
        <f>(0.3*0.8)+(0.6*0.3)</f>
        <v>0.42</v>
      </c>
      <c r="F344" s="566">
        <f>((C344*D344)-E344)</f>
        <v>11.24</v>
      </c>
      <c r="G344" s="469"/>
      <c r="H344" s="498"/>
    </row>
    <row r="345" spans="1:10" ht="13">
      <c r="A345" s="432"/>
      <c r="B345" s="354" t="s">
        <v>784</v>
      </c>
      <c r="C345" s="434">
        <f>8.04+1.4</f>
        <v>9.44</v>
      </c>
      <c r="D345" s="434">
        <v>3</v>
      </c>
      <c r="E345" s="566">
        <f>(0.6*0.6)+(0.8*2.1)</f>
        <v>2.04</v>
      </c>
      <c r="F345" s="566">
        <f>((C345*D345)-E345)</f>
        <v>26.28</v>
      </c>
      <c r="G345" s="469"/>
      <c r="H345" s="368"/>
      <c r="I345" s="368"/>
      <c r="J345" s="368"/>
    </row>
    <row r="346" spans="1:8" s="368" customFormat="1" ht="13">
      <c r="A346" s="432"/>
      <c r="B346" s="354" t="s">
        <v>785</v>
      </c>
      <c r="C346" s="434">
        <f>8.3+1.27</f>
        <v>9.57</v>
      </c>
      <c r="D346" s="434">
        <v>3</v>
      </c>
      <c r="E346" s="566">
        <f>(0.6*0.6)+(0.8*2.1)</f>
        <v>2.04</v>
      </c>
      <c r="F346" s="566">
        <f t="shared" si="22" ref="F346:F347">((C346*D346)-E346)</f>
        <v>26.67</v>
      </c>
      <c r="G346" s="469"/>
      <c r="H346" s="498"/>
    </row>
    <row r="347" spans="1:10" ht="13">
      <c r="A347" s="432"/>
      <c r="B347" s="354" t="s">
        <v>786</v>
      </c>
      <c r="C347" s="434">
        <f>8.3+1.27</f>
        <v>9.57</v>
      </c>
      <c r="D347" s="434">
        <v>3</v>
      </c>
      <c r="E347" s="566">
        <f>(0.6*0.6)+(0.8*2.1)</f>
        <v>2.04</v>
      </c>
      <c r="F347" s="566">
        <f t="shared" si="22"/>
        <v>26.67</v>
      </c>
      <c r="G347" s="469"/>
      <c r="H347" s="368"/>
      <c r="I347" s="368"/>
      <c r="J347" s="368"/>
    </row>
    <row r="348" spans="1:7" s="368" customFormat="1" ht="13">
      <c r="A348" s="432"/>
      <c r="B348" s="354" t="s">
        <v>787</v>
      </c>
      <c r="C348" s="434">
        <f>19.4+13.28</f>
        <v>32.68</v>
      </c>
      <c r="D348" s="434">
        <v>3</v>
      </c>
      <c r="E348" s="566">
        <f>(2.1*0.8)+(1.2*1)*3</f>
        <v>5.28</v>
      </c>
      <c r="F348" s="566">
        <f>((C348*D348)-E348)</f>
        <v>92.76</v>
      </c>
      <c r="G348" s="469"/>
    </row>
    <row r="349" spans="1:7" s="368" customFormat="1" ht="13">
      <c r="A349" s="432"/>
      <c r="B349" s="354" t="s">
        <v>788</v>
      </c>
      <c r="C349" s="434">
        <v>25.02</v>
      </c>
      <c r="D349" s="434">
        <v>3</v>
      </c>
      <c r="E349" s="566">
        <f>(0.8*2.1*8)+(0.82*1.8)</f>
        <v>14.92</v>
      </c>
      <c r="F349" s="566">
        <f>((C349*D349)-E349)</f>
        <v>60.14</v>
      </c>
      <c r="G349" s="469"/>
    </row>
    <row r="350" spans="1:7" s="368" customFormat="1" ht="13">
      <c r="A350" s="432"/>
      <c r="B350" s="354" t="s">
        <v>789</v>
      </c>
      <c r="C350" s="434">
        <f>17+4.74</f>
        <v>21.74</v>
      </c>
      <c r="D350" s="434">
        <v>3</v>
      </c>
      <c r="E350" s="566">
        <f>(0.8*2.1*2)+(1.2*1*2)</f>
        <v>5.76</v>
      </c>
      <c r="F350" s="566">
        <f>((C350*D350)-E350)</f>
        <v>59.46</v>
      </c>
      <c r="G350" s="469"/>
    </row>
    <row r="351" spans="1:7" s="368" customFormat="1" ht="13">
      <c r="A351" s="432"/>
      <c r="B351" s="354" t="s">
        <v>790</v>
      </c>
      <c r="C351" s="434">
        <f>10.4+1.32+2.19</f>
        <v>13.91</v>
      </c>
      <c r="D351" s="434">
        <v>1.20</v>
      </c>
      <c r="E351" s="566">
        <f>(0.8*0.3)+(0.6*0.3)</f>
        <v>0.42</v>
      </c>
      <c r="F351" s="566">
        <f t="shared" si="23" ref="F351">((C351*D351)-E351)</f>
        <v>16.27</v>
      </c>
      <c r="G351" s="469"/>
    </row>
    <row r="352" spans="1:7" s="368" customFormat="1" ht="13">
      <c r="A352" s="432"/>
      <c r="B352" s="354" t="s">
        <v>791</v>
      </c>
      <c r="C352" s="434">
        <f>7.18+1.9+1.5</f>
        <v>10.58</v>
      </c>
      <c r="D352" s="434">
        <v>1.20</v>
      </c>
      <c r="E352" s="566">
        <f>(0.9*0.3)+(0.3*0.6)</f>
        <v>0.45</v>
      </c>
      <c r="F352" s="566">
        <f>((C352*D352)-E352)</f>
        <v>12.25</v>
      </c>
      <c r="G352" s="469"/>
    </row>
    <row r="353" spans="1:10" ht="13">
      <c r="A353" s="432"/>
      <c r="B353" s="354" t="s">
        <v>792</v>
      </c>
      <c r="C353" s="434">
        <f>7.18+1.9+1.5</f>
        <v>10.58</v>
      </c>
      <c r="D353" s="434">
        <v>1.20</v>
      </c>
      <c r="E353" s="566">
        <f>(0.9*0.3)+(0.6*0.3)</f>
        <v>0.45</v>
      </c>
      <c r="F353" s="566">
        <f>((C353*D353)-E353)</f>
        <v>12.25</v>
      </c>
      <c r="G353" s="469"/>
      <c r="H353" s="368"/>
      <c r="I353" s="368"/>
      <c r="J353" s="368"/>
    </row>
    <row r="354" spans="1:7" s="368" customFormat="1" ht="13">
      <c r="A354" s="432"/>
      <c r="B354" s="354" t="s">
        <v>793</v>
      </c>
      <c r="C354" s="434">
        <f>8.4+1.16+0.95</f>
        <v>10.51</v>
      </c>
      <c r="D354" s="434">
        <v>1.20</v>
      </c>
      <c r="E354" s="566">
        <f>(0.8*0.3)+(0.6*0.3)</f>
        <v>0.42</v>
      </c>
      <c r="F354" s="566">
        <f>((C354*D354)-E354)</f>
        <v>12.19</v>
      </c>
      <c r="G354" s="469"/>
    </row>
    <row r="355" spans="1:7" s="368" customFormat="1" ht="13">
      <c r="A355" s="432"/>
      <c r="B355" s="354" t="s">
        <v>794</v>
      </c>
      <c r="C355" s="434">
        <f>8.4+1.16+0.95</f>
        <v>10.51</v>
      </c>
      <c r="D355" s="434">
        <v>1.20</v>
      </c>
      <c r="E355" s="566">
        <f>(0.8*0.3)+(0.6*0.3)</f>
        <v>0.42</v>
      </c>
      <c r="F355" s="566">
        <f t="shared" si="24" ref="F355">((C355*D355)-E355)</f>
        <v>12.19</v>
      </c>
      <c r="G355" s="469"/>
    </row>
    <row r="356" spans="1:7" s="368" customFormat="1" ht="13">
      <c r="A356" s="432"/>
      <c r="B356" s="354" t="s">
        <v>795</v>
      </c>
      <c r="C356" s="434">
        <f>3.88+0.2+0.92</f>
        <v>5</v>
      </c>
      <c r="D356" s="434">
        <v>0.80</v>
      </c>
      <c r="E356" s="566">
        <f>0</f>
        <v>0</v>
      </c>
      <c r="F356" s="566">
        <f>((C356*D356)-E356)</f>
        <v>4</v>
      </c>
      <c r="G356" s="469"/>
    </row>
    <row r="357" spans="1:7" s="368" customFormat="1" ht="13">
      <c r="A357" s="432"/>
      <c r="B357" s="354" t="s">
        <v>796</v>
      </c>
      <c r="C357" s="434">
        <f>12.5+2.19+2.37</f>
        <v>17.06</v>
      </c>
      <c r="D357" s="434">
        <v>3</v>
      </c>
      <c r="E357" s="566">
        <f>(0.8*2.1)+(1.2*1)+(0.9*2.1)</f>
        <v>4.7699999999999996</v>
      </c>
      <c r="F357" s="566">
        <f>((C357*D357)-E357)</f>
        <v>46.41</v>
      </c>
      <c r="G357" s="469"/>
    </row>
    <row r="358" spans="1:7" s="368" customFormat="1" ht="13">
      <c r="A358" s="432"/>
      <c r="B358" s="354" t="s">
        <v>797</v>
      </c>
      <c r="C358" s="434">
        <f>7.5+2.37</f>
        <v>9.8699999999999992</v>
      </c>
      <c r="D358" s="434">
        <v>1.20</v>
      </c>
      <c r="E358" s="566">
        <f>(0.9*0.3)+(0.6*0.3)</f>
        <v>0.45</v>
      </c>
      <c r="F358" s="566">
        <f>((C358*D358)-E358)</f>
        <v>11.39</v>
      </c>
      <c r="G358" s="469"/>
    </row>
    <row r="359" spans="1:7" s="368" customFormat="1" ht="13">
      <c r="A359" s="432"/>
      <c r="B359" s="354" t="s">
        <v>798</v>
      </c>
      <c r="C359" s="434">
        <f>15.33+1.4</f>
        <v>16.73</v>
      </c>
      <c r="D359" s="434">
        <v>3</v>
      </c>
      <c r="E359" s="566">
        <f>(0.8*2.1)+(0.6*0.6)</f>
        <v>2.04</v>
      </c>
      <c r="F359" s="566">
        <f t="shared" si="25" ref="F359:F369">((C359*D359)-E359)</f>
        <v>48.15</v>
      </c>
      <c r="G359" s="469"/>
    </row>
    <row r="360" spans="1:7" s="368" customFormat="1" ht="13">
      <c r="A360" s="432"/>
      <c r="B360" s="354" t="s">
        <v>799</v>
      </c>
      <c r="C360" s="434">
        <f>20.04+10.38</f>
        <v>30.42</v>
      </c>
      <c r="D360" s="434">
        <v>3</v>
      </c>
      <c r="E360" s="566">
        <f>(0.8*2.1)+(1.2*1*2)+(1*0.6)</f>
        <v>4.68</v>
      </c>
      <c r="F360" s="566">
        <f t="shared" si="25"/>
        <v>86.58</v>
      </c>
      <c r="G360" s="469"/>
    </row>
    <row r="361" spans="1:7" s="368" customFormat="1" ht="13">
      <c r="A361" s="432"/>
      <c r="B361" s="354" t="s">
        <v>837</v>
      </c>
      <c r="C361" s="434">
        <f>2.12*2</f>
        <v>4.24</v>
      </c>
      <c r="D361" s="434">
        <v>1</v>
      </c>
      <c r="E361" s="566">
        <v>0</v>
      </c>
      <c r="F361" s="566">
        <f t="shared" si="25"/>
        <v>4.24</v>
      </c>
      <c r="G361" s="469"/>
    </row>
    <row r="362" spans="1:7" s="368" customFormat="1" ht="13">
      <c r="A362" s="432"/>
      <c r="B362" s="354" t="s">
        <v>809</v>
      </c>
      <c r="C362" s="434">
        <f>7.56+6.06</f>
        <v>13.62</v>
      </c>
      <c r="D362" s="434">
        <v>3</v>
      </c>
      <c r="E362" s="566">
        <f>(0.8*2.1*2)+(1*0.8)+(1.6*2.1)</f>
        <v>7.52</v>
      </c>
      <c r="F362" s="566">
        <f t="shared" si="25"/>
        <v>33.340000000000003</v>
      </c>
      <c r="G362" s="469"/>
    </row>
    <row r="363" spans="1:7" s="368" customFormat="1" ht="13">
      <c r="A363" s="432"/>
      <c r="B363" s="354" t="s">
        <v>810</v>
      </c>
      <c r="C363" s="434">
        <f>27.38+3</f>
        <v>30.38</v>
      </c>
      <c r="D363" s="434">
        <v>3</v>
      </c>
      <c r="E363" s="566">
        <f>(0.8*2.1*7)+(1.5*1.8)+(13.6)</f>
        <v>28.06</v>
      </c>
      <c r="F363" s="566">
        <f t="shared" si="25"/>
        <v>63.08</v>
      </c>
      <c r="G363" s="469"/>
    </row>
    <row r="364" spans="1:10" ht="13">
      <c r="A364" s="432"/>
      <c r="B364" s="354" t="s">
        <v>800</v>
      </c>
      <c r="C364" s="434">
        <f>12.04+6.5</f>
        <v>18.54</v>
      </c>
      <c r="D364" s="434">
        <v>3</v>
      </c>
      <c r="E364" s="566">
        <f>(0.8*2.1)+(1*1.2)</f>
        <v>2.88</v>
      </c>
      <c r="F364" s="566">
        <f t="shared" si="25"/>
        <v>52.74</v>
      </c>
      <c r="G364" s="469"/>
      <c r="H364" s="368"/>
      <c r="I364" s="368"/>
      <c r="J364" s="368"/>
    </row>
    <row r="365" spans="1:10" ht="13">
      <c r="A365" s="432"/>
      <c r="B365" s="354" t="s">
        <v>801</v>
      </c>
      <c r="C365" s="434">
        <f>12.04+2.88</f>
        <v>14.92</v>
      </c>
      <c r="D365" s="434">
        <v>3</v>
      </c>
      <c r="E365" s="566">
        <f>(0.8*2.1)+(1.2*1)</f>
        <v>2.88</v>
      </c>
      <c r="F365" s="566">
        <f t="shared" si="25"/>
        <v>41.88</v>
      </c>
      <c r="G365" s="469"/>
      <c r="H365" s="368"/>
      <c r="I365" s="368"/>
      <c r="J365" s="368"/>
    </row>
    <row r="366" spans="1:10" ht="13">
      <c r="A366" s="432"/>
      <c r="B366" s="354" t="s">
        <v>802</v>
      </c>
      <c r="C366" s="434">
        <f>12.04+2.88</f>
        <v>14.92</v>
      </c>
      <c r="D366" s="434">
        <v>1.20</v>
      </c>
      <c r="E366" s="566">
        <f>(1.2*0.7)+(0.3*0.8)</f>
        <v>1.08</v>
      </c>
      <c r="F366" s="566">
        <f t="shared" si="25"/>
        <v>16.82</v>
      </c>
      <c r="G366" s="469"/>
      <c r="H366" s="368"/>
      <c r="I366" s="368"/>
      <c r="J366" s="368"/>
    </row>
    <row r="367" spans="1:10" ht="13">
      <c r="A367" s="432"/>
      <c r="B367" s="354" t="s">
        <v>803</v>
      </c>
      <c r="C367" s="434">
        <f>12.04+2.88</f>
        <v>14.92</v>
      </c>
      <c r="D367" s="434">
        <v>1.20</v>
      </c>
      <c r="E367" s="566">
        <f>(0.8*0.3)+(0.7*1.2)</f>
        <v>1.08</v>
      </c>
      <c r="F367" s="566">
        <f t="shared" si="25"/>
        <v>16.82</v>
      </c>
      <c r="G367" s="469"/>
      <c r="H367" s="368"/>
      <c r="I367" s="368"/>
      <c r="J367" s="368"/>
    </row>
    <row r="368" spans="1:10" ht="13">
      <c r="A368" s="432"/>
      <c r="B368" s="354" t="s">
        <v>804</v>
      </c>
      <c r="C368" s="434">
        <f>10.42+1.95</f>
        <v>12.37</v>
      </c>
      <c r="D368" s="434">
        <v>3</v>
      </c>
      <c r="E368" s="566">
        <f>(0.8*2.1)+(1*1.2*2)</f>
        <v>4.08</v>
      </c>
      <c r="F368" s="566">
        <f t="shared" si="25"/>
        <v>33.03</v>
      </c>
      <c r="G368" s="469"/>
      <c r="H368" s="368"/>
      <c r="I368" s="368"/>
      <c r="J368" s="368"/>
    </row>
    <row r="369" spans="1:10" ht="13">
      <c r="A369" s="432"/>
      <c r="B369" s="354" t="s">
        <v>805</v>
      </c>
      <c r="C369" s="434">
        <f>12.56+6.04</f>
        <v>18.60</v>
      </c>
      <c r="D369" s="434">
        <v>3</v>
      </c>
      <c r="E369" s="566">
        <f>(2*2.1*2)+(13.6)</f>
        <v>22</v>
      </c>
      <c r="F369" s="566">
        <f t="shared" si="25"/>
        <v>33.799999999999997</v>
      </c>
      <c r="G369" s="469"/>
      <c r="H369" s="368"/>
      <c r="I369" s="368"/>
      <c r="J369" s="368"/>
    </row>
    <row r="370" spans="1:7" s="368" customFormat="1" ht="13">
      <c r="A370" s="432"/>
      <c r="B370" s="354" t="s">
        <v>806</v>
      </c>
      <c r="C370" s="434">
        <f>11.12+2.42</f>
        <v>13.54</v>
      </c>
      <c r="D370" s="434">
        <v>1.20</v>
      </c>
      <c r="E370" s="566">
        <f>(0.8*0.3)+(0.7*1.2)</f>
        <v>1.08</v>
      </c>
      <c r="F370" s="566">
        <f t="shared" si="26" ref="F370:F376">(C370+D370)-E370</f>
        <v>13.66</v>
      </c>
      <c r="G370" s="469"/>
    </row>
    <row r="371" spans="1:7" s="368" customFormat="1" ht="13">
      <c r="A371" s="432"/>
      <c r="B371" s="354" t="s">
        <v>807</v>
      </c>
      <c r="C371" s="434">
        <f>11.02+2.3</f>
        <v>13.32</v>
      </c>
      <c r="D371" s="434">
        <v>3</v>
      </c>
      <c r="E371" s="566">
        <f>(0.8*2.1)+(1*1.2)</f>
        <v>2.88</v>
      </c>
      <c r="F371" s="566">
        <f t="shared" si="26"/>
        <v>13.44</v>
      </c>
      <c r="G371" s="469"/>
    </row>
    <row r="372" spans="1:10" ht="13">
      <c r="A372" s="432"/>
      <c r="B372" s="354" t="s">
        <v>808</v>
      </c>
      <c r="C372" s="434">
        <f>18+3.26</f>
        <v>21.26</v>
      </c>
      <c r="D372" s="434">
        <v>3</v>
      </c>
      <c r="E372" s="566">
        <f>(0.8*2.1)+(1*1.2)+(1*0.8)</f>
        <v>3.68</v>
      </c>
      <c r="F372" s="566">
        <f t="shared" si="26"/>
        <v>20.58</v>
      </c>
      <c r="G372" s="469"/>
      <c r="H372" s="368"/>
      <c r="I372" s="368"/>
      <c r="J372" s="368"/>
    </row>
    <row r="373" spans="1:10" ht="13">
      <c r="A373" s="432"/>
      <c r="B373" s="354" t="s">
        <v>838</v>
      </c>
      <c r="C373" s="434">
        <f>2.36*3</f>
        <v>7.08</v>
      </c>
      <c r="D373" s="434">
        <v>2.2999999999999998</v>
      </c>
      <c r="E373" s="566">
        <v>0</v>
      </c>
      <c r="F373" s="566">
        <f t="shared" si="26"/>
        <v>9.3800000000000008</v>
      </c>
      <c r="G373" s="469"/>
      <c r="H373" s="368"/>
      <c r="I373" s="368"/>
      <c r="J373" s="368"/>
    </row>
    <row r="374" spans="1:10" ht="13">
      <c r="A374" s="432"/>
      <c r="B374" s="354" t="s">
        <v>839</v>
      </c>
      <c r="C374" s="434">
        <f>1+1.24</f>
        <v>2.2400000000000002</v>
      </c>
      <c r="D374" s="434">
        <v>2.2999999999999998</v>
      </c>
      <c r="E374" s="566">
        <v>0</v>
      </c>
      <c r="F374" s="566">
        <f t="shared" si="26"/>
        <v>4.54</v>
      </c>
      <c r="G374" s="469"/>
      <c r="H374" s="368"/>
      <c r="I374" s="368"/>
      <c r="J374" s="368"/>
    </row>
    <row r="375" spans="1:10" ht="13">
      <c r="A375" s="432"/>
      <c r="B375" s="354" t="s">
        <v>840</v>
      </c>
      <c r="C375" s="434">
        <f>3.24+2.24</f>
        <v>5.48</v>
      </c>
      <c r="D375" s="434">
        <v>2.2999999999999998</v>
      </c>
      <c r="E375" s="566">
        <v>0</v>
      </c>
      <c r="F375" s="566">
        <f t="shared" si="26"/>
        <v>7.78</v>
      </c>
      <c r="G375" s="469"/>
      <c r="H375" s="368"/>
      <c r="I375" s="368"/>
      <c r="J375" s="368"/>
    </row>
    <row r="376" spans="1:10" ht="13">
      <c r="A376" s="432"/>
      <c r="B376" s="354" t="s">
        <v>841</v>
      </c>
      <c r="C376" s="434">
        <f>10.11+3.18+25.45+36.91+42.13+9.39</f>
        <v>127.17</v>
      </c>
      <c r="D376" s="434">
        <v>2</v>
      </c>
      <c r="E376" s="566">
        <f>(0.8*2)+(4*2)</f>
        <v>9.60</v>
      </c>
      <c r="F376" s="566">
        <f t="shared" si="26"/>
        <v>119.57</v>
      </c>
      <c r="G376" s="469"/>
      <c r="H376" s="368"/>
      <c r="I376" s="368"/>
      <c r="J376" s="368"/>
    </row>
    <row r="377" spans="1:10" ht="13">
      <c r="A377" s="432"/>
      <c r="B377" s="354" t="s">
        <v>842</v>
      </c>
      <c r="C377" s="569" t="s">
        <v>843</v>
      </c>
      <c r="D377" s="570"/>
      <c r="E377" s="571"/>
      <c r="F377" s="566">
        <f>5.75*2</f>
        <v>11.50</v>
      </c>
      <c r="G377" s="469"/>
      <c r="H377" s="368"/>
      <c r="I377" s="368"/>
      <c r="J377" s="368"/>
    </row>
    <row r="378" spans="1:10" ht="13">
      <c r="A378" s="432"/>
      <c r="B378" s="364" t="s">
        <v>844</v>
      </c>
      <c r="C378" s="471"/>
      <c r="D378" s="471"/>
      <c r="E378" s="471"/>
      <c r="F378" s="572"/>
      <c r="G378" s="469"/>
      <c r="H378" s="368"/>
      <c r="I378" s="368"/>
      <c r="J378" s="368"/>
    </row>
    <row r="379" spans="1:10" ht="13">
      <c r="A379" s="432"/>
      <c r="B379" s="462" t="s">
        <v>845</v>
      </c>
      <c r="C379" s="434">
        <f>(17.5)+(37.2)+(14.24)</f>
        <v>68.94</v>
      </c>
      <c r="D379" s="434">
        <v>2</v>
      </c>
      <c r="E379" s="566">
        <f>(0.8*2)+(1.2*2)</f>
        <v>4</v>
      </c>
      <c r="F379" s="566">
        <f t="shared" si="27" ref="F379">(C379+D379)-E379</f>
        <v>66.94</v>
      </c>
      <c r="G379" s="469"/>
      <c r="H379" s="368"/>
      <c r="I379" s="368"/>
      <c r="J379" s="368"/>
    </row>
    <row r="380" spans="1:10" ht="13">
      <c r="A380" s="432"/>
      <c r="B380" s="354" t="s">
        <v>841</v>
      </c>
      <c r="C380" s="434">
        <f>3.3+10.24+25.56+37.13+42.37+9.51</f>
        <v>128.11000000000001</v>
      </c>
      <c r="D380" s="434">
        <v>2</v>
      </c>
      <c r="E380" s="566">
        <f>(0.8*2)+(4*2)</f>
        <v>9.60</v>
      </c>
      <c r="F380" s="566">
        <f t="shared" si="28" ref="F380">(C380+D380)-E380</f>
        <v>120.51</v>
      </c>
      <c r="G380" s="469"/>
      <c r="H380" s="368"/>
      <c r="I380" s="368"/>
      <c r="J380" s="368"/>
    </row>
    <row r="381" spans="1:10" ht="13">
      <c r="A381" s="432"/>
      <c r="B381" s="354" t="s">
        <v>842</v>
      </c>
      <c r="C381" s="569" t="s">
        <v>843</v>
      </c>
      <c r="D381" s="570"/>
      <c r="E381" s="571"/>
      <c r="F381" s="566">
        <f>5.75*2</f>
        <v>11.50</v>
      </c>
      <c r="G381" s="469"/>
      <c r="H381" s="368"/>
      <c r="I381" s="368"/>
      <c r="J381" s="368"/>
    </row>
    <row r="382" spans="1:10" ht="13">
      <c r="A382" s="432"/>
      <c r="B382" s="567"/>
      <c r="C382" s="567"/>
      <c r="D382" s="434"/>
      <c r="E382" s="567" t="s">
        <v>311</v>
      </c>
      <c r="F382" s="568">
        <f>SUM(F341:F381)</f>
        <v>1307.26</v>
      </c>
      <c r="G382" s="469"/>
      <c r="H382" s="368"/>
      <c r="I382" s="368"/>
      <c r="J382" s="368"/>
    </row>
    <row r="384" spans="1:10" ht="13">
      <c r="A384" s="432" t="str">
        <f>medição!A48</f>
        <v>8.4</v>
      </c>
      <c r="B384" s="430" t="str">
        <f>medição!B48</f>
        <v xml:space="preserve">EMBOÇO OU MASSA ÚNICA EM ARGAMASSA TRAÇO 1:2:8, PREPARO COM BETONEIRA, APLICADA MANUALMENTE EM PANOS CEGOS DE FACHADA, ESPESSURA DE 25 MM. </v>
      </c>
      <c r="C384" s="430"/>
      <c r="D384" s="430"/>
      <c r="E384" s="430"/>
      <c r="F384" s="430"/>
      <c r="G384" s="430"/>
      <c r="H384" s="430"/>
      <c r="I384" s="430"/>
      <c r="J384" s="430"/>
    </row>
    <row r="385" spans="1:10" ht="13">
      <c r="A385" s="432"/>
      <c r="B385" s="345" t="s">
        <v>306</v>
      </c>
      <c r="C385" s="345" t="s">
        <v>741</v>
      </c>
      <c r="D385" s="345" t="s">
        <v>740</v>
      </c>
      <c r="E385" s="364" t="s">
        <v>835</v>
      </c>
      <c r="F385" s="364" t="s">
        <v>309</v>
      </c>
      <c r="G385" s="469"/>
      <c r="H385" s="469"/>
      <c r="I385" s="368"/>
      <c r="J385" s="368"/>
    </row>
    <row r="386" spans="1:10" ht="13">
      <c r="A386" s="432"/>
      <c r="B386" s="528" t="s">
        <v>746</v>
      </c>
      <c r="C386" s="345"/>
      <c r="D386" s="345"/>
      <c r="E386" s="364"/>
      <c r="F386" s="364"/>
      <c r="G386" s="469"/>
      <c r="H386" s="469"/>
      <c r="I386" s="368"/>
      <c r="J386" s="368"/>
    </row>
    <row r="387" spans="1:7" s="368" customFormat="1" ht="13">
      <c r="A387" s="432"/>
      <c r="B387" s="354" t="s">
        <v>780</v>
      </c>
      <c r="C387" s="434">
        <f>9+4.86</f>
        <v>13.86</v>
      </c>
      <c r="D387" s="434">
        <v>1.80</v>
      </c>
      <c r="E387" s="566">
        <f>(1*0.3)+(0.8*1.8)</f>
        <v>1.74</v>
      </c>
      <c r="F387" s="566">
        <f>((C387*D387)-E387)</f>
        <v>23.21</v>
      </c>
      <c r="G387" s="469"/>
    </row>
    <row r="388" spans="1:7" s="368" customFormat="1" ht="13">
      <c r="A388" s="432"/>
      <c r="B388" s="354" t="s">
        <v>781</v>
      </c>
      <c r="C388" s="434">
        <f>10+3.1</f>
        <v>13.10</v>
      </c>
      <c r="D388" s="434">
        <v>1.80</v>
      </c>
      <c r="E388" s="566">
        <f>(0.8*1.8)+(0.3*1)</f>
        <v>1.74</v>
      </c>
      <c r="F388" s="566">
        <f>((C388*D388)-E388)</f>
        <v>21.84</v>
      </c>
      <c r="G388" s="469"/>
    </row>
    <row r="389" spans="1:10" ht="13">
      <c r="A389" s="432"/>
      <c r="B389" s="354" t="s">
        <v>782</v>
      </c>
      <c r="C389" s="434">
        <f>11.04+2.64</f>
        <v>13.68</v>
      </c>
      <c r="D389" s="434">
        <v>1.80</v>
      </c>
      <c r="E389" s="566">
        <f>(0.8*1.8)+(0.3*1)*2</f>
        <v>2.04</v>
      </c>
      <c r="F389" s="566">
        <f>((C389*D389)-E389)</f>
        <v>22.58</v>
      </c>
      <c r="G389" s="469"/>
      <c r="H389" s="368"/>
      <c r="I389" s="368"/>
      <c r="J389" s="368"/>
    </row>
    <row r="390" spans="1:7" s="368" customFormat="1" ht="13">
      <c r="A390" s="432"/>
      <c r="B390" s="354" t="s">
        <v>783</v>
      </c>
      <c r="C390" s="434">
        <f>8.4+1.32</f>
        <v>9.7200000000000006</v>
      </c>
      <c r="D390" s="434">
        <v>1.80</v>
      </c>
      <c r="E390" s="566">
        <f>(0.8*1.8)+(0.3*1)</f>
        <v>1.74</v>
      </c>
      <c r="F390" s="566">
        <f>((C390*D390)-E390)</f>
        <v>15.76</v>
      </c>
      <c r="G390" s="469"/>
    </row>
    <row r="391" spans="1:10" ht="13">
      <c r="A391" s="432"/>
      <c r="B391" s="354" t="s">
        <v>784</v>
      </c>
      <c r="C391" s="434">
        <f>8.04+1.4</f>
        <v>9.44</v>
      </c>
      <c r="D391" s="434">
        <v>1.80</v>
      </c>
      <c r="E391" s="566">
        <f>(0.8*1.8)+(0.3*1)</f>
        <v>1.74</v>
      </c>
      <c r="F391" s="566">
        <f>((C391*D391)-E391)</f>
        <v>15.25</v>
      </c>
      <c r="G391" s="469"/>
      <c r="H391" s="368"/>
      <c r="I391" s="368"/>
      <c r="J391" s="368"/>
    </row>
    <row r="392" spans="1:7" s="368" customFormat="1" ht="13">
      <c r="A392" s="432"/>
      <c r="B392" s="354" t="s">
        <v>790</v>
      </c>
      <c r="C392" s="434">
        <f>10.4+1.32+2.19</f>
        <v>13.91</v>
      </c>
      <c r="D392" s="434">
        <v>1.80</v>
      </c>
      <c r="E392" s="566">
        <f>(0.8*1.8)+(0.6*0.3)</f>
        <v>1.62</v>
      </c>
      <c r="F392" s="566">
        <f t="shared" si="29" ref="F392">((C392*D392)-E392)</f>
        <v>23.42</v>
      </c>
      <c r="G392" s="469"/>
    </row>
    <row r="393" spans="1:7" s="368" customFormat="1" ht="13">
      <c r="A393" s="432"/>
      <c r="B393" s="354" t="s">
        <v>791</v>
      </c>
      <c r="C393" s="434">
        <f>7.18+1.9+1.5</f>
        <v>10.58</v>
      </c>
      <c r="D393" s="434">
        <v>1.80</v>
      </c>
      <c r="E393" s="566">
        <f>(0.9*1.8)+(0.6*0.3)</f>
        <v>1.80</v>
      </c>
      <c r="F393" s="566">
        <f>((C393*D393)-E393)</f>
        <v>17.239999999999998</v>
      </c>
      <c r="G393" s="469"/>
    </row>
    <row r="394" spans="1:10" ht="13">
      <c r="A394" s="432"/>
      <c r="B394" s="354" t="s">
        <v>792</v>
      </c>
      <c r="C394" s="434">
        <f>7.18+1.9+1.5</f>
        <v>10.58</v>
      </c>
      <c r="D394" s="434">
        <v>1.80</v>
      </c>
      <c r="E394" s="566">
        <f>(0.9*1.8)+(0.6*0.3)</f>
        <v>1.80</v>
      </c>
      <c r="F394" s="566">
        <f>((C394*D394)-E394)</f>
        <v>17.239999999999998</v>
      </c>
      <c r="G394" s="469"/>
      <c r="H394" s="368"/>
      <c r="I394" s="368"/>
      <c r="J394" s="368"/>
    </row>
    <row r="395" spans="1:7" s="368" customFormat="1" ht="13">
      <c r="A395" s="432"/>
      <c r="B395" s="354" t="s">
        <v>793</v>
      </c>
      <c r="C395" s="434">
        <f>8.4+1.16+0.95</f>
        <v>10.51</v>
      </c>
      <c r="D395" s="434">
        <v>1.80</v>
      </c>
      <c r="E395" s="566">
        <f>(0.8*1.8)+(0.6*0.3)</f>
        <v>1.62</v>
      </c>
      <c r="F395" s="566">
        <f>((C395*D395)-E395)</f>
        <v>17.30</v>
      </c>
      <c r="G395" s="469"/>
    </row>
    <row r="396" spans="1:7" s="368" customFormat="1" ht="13">
      <c r="A396" s="432"/>
      <c r="B396" s="354" t="s">
        <v>794</v>
      </c>
      <c r="C396" s="434">
        <f>8.4+1.16+0.95</f>
        <v>10.51</v>
      </c>
      <c r="D396" s="434">
        <v>1.80</v>
      </c>
      <c r="E396" s="566">
        <f>(0.8*1.8)+(0.6*0.3)</f>
        <v>1.62</v>
      </c>
      <c r="F396" s="566">
        <f t="shared" si="30" ref="F396">((C396*D396)-E396)</f>
        <v>17.30</v>
      </c>
      <c r="G396" s="469"/>
    </row>
    <row r="397" spans="1:7" s="368" customFormat="1" ht="13">
      <c r="A397" s="432"/>
      <c r="B397" s="354" t="s">
        <v>797</v>
      </c>
      <c r="C397" s="434">
        <f>7.5+2.37</f>
        <v>9.8699999999999992</v>
      </c>
      <c r="D397" s="434">
        <v>1.80</v>
      </c>
      <c r="E397" s="566">
        <f>(0.9*1.8)+(0.6*0.3)</f>
        <v>1.80</v>
      </c>
      <c r="F397" s="566">
        <f>((C397*D397)-E397)</f>
        <v>15.97</v>
      </c>
      <c r="G397" s="469"/>
    </row>
    <row r="398" spans="1:10" ht="13">
      <c r="A398" s="432"/>
      <c r="B398" s="354" t="s">
        <v>802</v>
      </c>
      <c r="C398" s="434">
        <f>12.04+2.88</f>
        <v>14.92</v>
      </c>
      <c r="D398" s="434">
        <v>1.80</v>
      </c>
      <c r="E398" s="566">
        <f>(1.2*0.7)+(1.8*0.8)</f>
        <v>2.2799999999999998</v>
      </c>
      <c r="F398" s="566">
        <f t="shared" si="31" ref="F398:F399">((C398*D398)-E398)</f>
        <v>24.58</v>
      </c>
      <c r="G398" s="469"/>
      <c r="H398" s="368"/>
      <c r="I398" s="368"/>
      <c r="J398" s="368"/>
    </row>
    <row r="399" spans="1:10" ht="13">
      <c r="A399" s="432"/>
      <c r="B399" s="354" t="s">
        <v>803</v>
      </c>
      <c r="C399" s="434">
        <f>12.04+2.88</f>
        <v>14.92</v>
      </c>
      <c r="D399" s="434">
        <v>1.80</v>
      </c>
      <c r="E399" s="566">
        <f>(0.8*1.8)+(0.7*1.2)</f>
        <v>2.2799999999999998</v>
      </c>
      <c r="F399" s="566">
        <f t="shared" si="31"/>
        <v>24.58</v>
      </c>
      <c r="G399" s="469"/>
      <c r="H399" s="368"/>
      <c r="I399" s="368"/>
      <c r="J399" s="368"/>
    </row>
    <row r="400" spans="1:7" s="368" customFormat="1" ht="13">
      <c r="A400" s="432"/>
      <c r="B400" s="354" t="s">
        <v>806</v>
      </c>
      <c r="C400" s="434">
        <f>11.12+2.42</f>
        <v>13.54</v>
      </c>
      <c r="D400" s="434">
        <v>1.80</v>
      </c>
      <c r="E400" s="566">
        <f>(0.8*1.8)+(0.7*1.2)</f>
        <v>2.2799999999999998</v>
      </c>
      <c r="F400" s="566">
        <f>(C400+D400)-E400</f>
        <v>13.06</v>
      </c>
      <c r="G400" s="469"/>
    </row>
    <row r="401" spans="1:10" ht="13">
      <c r="A401" s="432"/>
      <c r="B401" s="567"/>
      <c r="C401" s="567"/>
      <c r="D401" s="434"/>
      <c r="E401" s="567" t="s">
        <v>311</v>
      </c>
      <c r="F401" s="568">
        <f>SUM(F387:F400)</f>
        <v>269.33</v>
      </c>
      <c r="G401" s="469"/>
      <c r="H401" s="368"/>
      <c r="I401" s="368"/>
      <c r="J401" s="368"/>
    </row>
    <row r="403" spans="1:10" ht="13">
      <c r="A403" s="432" t="str">
        <f>medição!A49</f>
        <v>8.5</v>
      </c>
      <c r="B403" s="430" t="str">
        <f>medição!B49</f>
        <v xml:space="preserve">REVESTIMENTO CERÂMICO PARA PAREDES INTERNAS COM PLACAS TIPO ESMALTADA EXTRA DE DIMENSÕES 25X35 CM APLICADAS EM AMBIENTES DE ÁREA MAIOR QUE 5 M² NA ALTURA INTEIRA DAS PAREDES. AF_06/2014 </v>
      </c>
      <c r="C403" s="430"/>
      <c r="D403" s="430"/>
      <c r="E403" s="430"/>
      <c r="F403" s="430"/>
      <c r="G403" s="430"/>
      <c r="H403" s="430"/>
      <c r="I403" s="430"/>
      <c r="J403" s="430"/>
    </row>
    <row r="404" spans="1:10" ht="13">
      <c r="A404" s="432"/>
      <c r="B404" s="345" t="s">
        <v>306</v>
      </c>
      <c r="C404" s="345" t="s">
        <v>741</v>
      </c>
      <c r="D404" s="345" t="s">
        <v>740</v>
      </c>
      <c r="E404" s="364" t="s">
        <v>835</v>
      </c>
      <c r="F404" s="364" t="s">
        <v>309</v>
      </c>
      <c r="G404" s="469"/>
      <c r="H404" s="469"/>
      <c r="I404" s="368"/>
      <c r="J404" s="368"/>
    </row>
    <row r="405" spans="1:10" ht="13">
      <c r="A405" s="432"/>
      <c r="B405" s="528" t="s">
        <v>746</v>
      </c>
      <c r="C405" s="345"/>
      <c r="D405" s="345"/>
      <c r="E405" s="364"/>
      <c r="F405" s="364"/>
      <c r="G405" s="469"/>
      <c r="H405" s="469"/>
      <c r="I405" s="368"/>
      <c r="J405" s="368"/>
    </row>
    <row r="406" spans="1:7" s="368" customFormat="1" ht="13">
      <c r="A406" s="432"/>
      <c r="B406" s="354" t="s">
        <v>780</v>
      </c>
      <c r="C406" s="434">
        <f>9+4.86</f>
        <v>13.86</v>
      </c>
      <c r="D406" s="434">
        <v>1.80</v>
      </c>
      <c r="E406" s="566">
        <f>(1*0.3)+(0.8*1.8)</f>
        <v>1.74</v>
      </c>
      <c r="F406" s="566">
        <f>((C406*D406)-E406)</f>
        <v>23.21</v>
      </c>
      <c r="G406" s="469"/>
    </row>
    <row r="407" spans="1:7" s="368" customFormat="1" ht="13">
      <c r="A407" s="432"/>
      <c r="B407" s="354" t="s">
        <v>781</v>
      </c>
      <c r="C407" s="434">
        <f>10+3.1</f>
        <v>13.10</v>
      </c>
      <c r="D407" s="434">
        <v>1.80</v>
      </c>
      <c r="E407" s="566">
        <f>(0.8*1.8)+(0.3*1)</f>
        <v>1.74</v>
      </c>
      <c r="F407" s="566">
        <f>((C407*D407)-E407)</f>
        <v>21.84</v>
      </c>
      <c r="G407" s="469"/>
    </row>
    <row r="408" spans="1:10" ht="13">
      <c r="A408" s="432"/>
      <c r="B408" s="354" t="s">
        <v>782</v>
      </c>
      <c r="C408" s="434">
        <f>11.04+2.64</f>
        <v>13.68</v>
      </c>
      <c r="D408" s="434">
        <v>1.80</v>
      </c>
      <c r="E408" s="566">
        <f>(0.8*1.8)+(0.3*1)*2</f>
        <v>2.04</v>
      </c>
      <c r="F408" s="566">
        <f>((C408*D408)-E408)</f>
        <v>22.58</v>
      </c>
      <c r="G408" s="469"/>
      <c r="H408" s="368"/>
      <c r="I408" s="368"/>
      <c r="J408" s="368"/>
    </row>
    <row r="409" spans="1:7" s="368" customFormat="1" ht="13">
      <c r="A409" s="432"/>
      <c r="B409" s="354" t="s">
        <v>783</v>
      </c>
      <c r="C409" s="434">
        <f>8.4+1.32</f>
        <v>9.7200000000000006</v>
      </c>
      <c r="D409" s="434">
        <v>1.80</v>
      </c>
      <c r="E409" s="566">
        <f>(0.8*1.8)+(0.3*1)</f>
        <v>1.74</v>
      </c>
      <c r="F409" s="566">
        <f>((C409*D409)-E409)</f>
        <v>15.76</v>
      </c>
      <c r="G409" s="469"/>
    </row>
    <row r="410" spans="1:7" s="368" customFormat="1" ht="13">
      <c r="A410" s="432"/>
      <c r="B410" s="354" t="s">
        <v>790</v>
      </c>
      <c r="C410" s="434">
        <f>8.04+1.4</f>
        <v>9.44</v>
      </c>
      <c r="D410" s="434">
        <v>1.80</v>
      </c>
      <c r="E410" s="566">
        <f>(0.8*1.8)+(0.3*1)</f>
        <v>1.74</v>
      </c>
      <c r="F410" s="566">
        <f>((C410*D410)-E410)</f>
        <v>15.25</v>
      </c>
      <c r="G410" s="469"/>
    </row>
    <row r="411" spans="1:7" s="368" customFormat="1" ht="13">
      <c r="A411" s="432"/>
      <c r="B411" s="354" t="s">
        <v>791</v>
      </c>
      <c r="C411" s="434">
        <f>10.4+1.32+2.19</f>
        <v>13.91</v>
      </c>
      <c r="D411" s="434">
        <v>1.80</v>
      </c>
      <c r="E411" s="566">
        <f>(0.8*1.8)+(0.6*0.3)</f>
        <v>1.62</v>
      </c>
      <c r="F411" s="566">
        <f t="shared" si="32" ref="F411">((C411*D411)-E411)</f>
        <v>23.42</v>
      </c>
      <c r="G411" s="469"/>
    </row>
    <row r="412" spans="1:10" ht="13">
      <c r="A412" s="432"/>
      <c r="B412" s="354" t="s">
        <v>792</v>
      </c>
      <c r="C412" s="434">
        <f>7.18+1.9+1.5</f>
        <v>10.58</v>
      </c>
      <c r="D412" s="434">
        <v>1.80</v>
      </c>
      <c r="E412" s="566">
        <f>(0.9*1.8)+(0.6*0.3)</f>
        <v>1.80</v>
      </c>
      <c r="F412" s="566">
        <f>((C412*D412)-E412)</f>
        <v>17.239999999999998</v>
      </c>
      <c r="G412" s="469"/>
      <c r="H412" s="368"/>
      <c r="I412" s="368"/>
      <c r="J412" s="368"/>
    </row>
    <row r="413" spans="1:7" s="368" customFormat="1" ht="13">
      <c r="A413" s="432"/>
      <c r="B413" s="354" t="s">
        <v>793</v>
      </c>
      <c r="C413" s="434">
        <f>7.18+1.9+1.5</f>
        <v>10.58</v>
      </c>
      <c r="D413" s="434">
        <v>1.80</v>
      </c>
      <c r="E413" s="566">
        <f>(0.9*1.8)+(0.6*0.3)</f>
        <v>1.80</v>
      </c>
      <c r="F413" s="566">
        <f>((C413*D413)-E413)</f>
        <v>17.239999999999998</v>
      </c>
      <c r="G413" s="469"/>
    </row>
    <row r="414" spans="1:7" s="368" customFormat="1" ht="13">
      <c r="A414" s="432"/>
      <c r="B414" s="354" t="s">
        <v>794</v>
      </c>
      <c r="C414" s="434">
        <f>8.4+1.16+0.95</f>
        <v>10.51</v>
      </c>
      <c r="D414" s="434">
        <v>1.80</v>
      </c>
      <c r="E414" s="566">
        <f>(0.8*1.8)+(0.6*0.3)</f>
        <v>1.62</v>
      </c>
      <c r="F414" s="566">
        <f>((C414*D414)-E414)</f>
        <v>17.30</v>
      </c>
      <c r="G414" s="469"/>
    </row>
    <row r="415" spans="1:7" s="368" customFormat="1" ht="13">
      <c r="A415" s="432"/>
      <c r="B415" s="354" t="s">
        <v>797</v>
      </c>
      <c r="C415" s="434">
        <f>8.4+1.16+0.95</f>
        <v>10.51</v>
      </c>
      <c r="D415" s="434">
        <v>1.80</v>
      </c>
      <c r="E415" s="566">
        <f>(0.8*1.8)+(0.6*0.3)</f>
        <v>1.62</v>
      </c>
      <c r="F415" s="566">
        <f t="shared" si="33" ref="F415">((C415*D415)-E415)</f>
        <v>17.30</v>
      </c>
      <c r="G415" s="469"/>
    </row>
    <row r="416" spans="1:10" ht="13">
      <c r="A416" s="432"/>
      <c r="B416" s="354" t="s">
        <v>802</v>
      </c>
      <c r="C416" s="434">
        <f>7.5+2.37</f>
        <v>9.8699999999999992</v>
      </c>
      <c r="D416" s="434">
        <v>1.80</v>
      </c>
      <c r="E416" s="566">
        <f>(0.9*1.8)+(0.6*0.3)</f>
        <v>1.80</v>
      </c>
      <c r="F416" s="566">
        <f>((C416*D416)-E416)</f>
        <v>15.97</v>
      </c>
      <c r="G416" s="469"/>
      <c r="H416" s="368"/>
      <c r="I416" s="368"/>
      <c r="J416" s="368"/>
    </row>
    <row r="417" spans="1:10" ht="13">
      <c r="A417" s="432"/>
      <c r="B417" s="354" t="s">
        <v>803</v>
      </c>
      <c r="C417" s="434">
        <f>12.04+2.88</f>
        <v>14.92</v>
      </c>
      <c r="D417" s="434">
        <v>1.80</v>
      </c>
      <c r="E417" s="566">
        <f>(1.2*0.7)+(1.8*0.8)</f>
        <v>2.2799999999999998</v>
      </c>
      <c r="F417" s="566">
        <f t="shared" si="34" ref="F417:F418">((C417*D417)-E417)</f>
        <v>24.58</v>
      </c>
      <c r="G417" s="469"/>
      <c r="H417" s="368"/>
      <c r="I417" s="368"/>
      <c r="J417" s="368"/>
    </row>
    <row r="418" spans="1:7" s="368" customFormat="1" ht="13">
      <c r="A418" s="432"/>
      <c r="B418" s="354" t="s">
        <v>806</v>
      </c>
      <c r="C418" s="434">
        <f>12.04+2.88</f>
        <v>14.92</v>
      </c>
      <c r="D418" s="434">
        <v>1.80</v>
      </c>
      <c r="E418" s="566">
        <f>(0.8*1.8)+(0.7*1.2)</f>
        <v>2.2799999999999998</v>
      </c>
      <c r="F418" s="566">
        <f t="shared" si="34"/>
        <v>24.58</v>
      </c>
      <c r="G418" s="469"/>
    </row>
    <row r="419" spans="1:7" s="368" customFormat="1" ht="13">
      <c r="A419" s="432"/>
      <c r="B419" s="354"/>
      <c r="C419" s="434">
        <f>11.12+2.42</f>
        <v>13.54</v>
      </c>
      <c r="D419" s="434">
        <v>1.80</v>
      </c>
      <c r="E419" s="566">
        <f>(0.8*1.8)+(0.7*1.2)</f>
        <v>2.2799999999999998</v>
      </c>
      <c r="F419" s="566">
        <f t="shared" si="35" ref="F419">(C419+D419)-E419</f>
        <v>13.06</v>
      </c>
      <c r="G419" s="469"/>
    </row>
    <row r="420" spans="1:10" ht="13">
      <c r="A420" s="432"/>
      <c r="B420" s="567"/>
      <c r="C420" s="567"/>
      <c r="D420" s="434"/>
      <c r="E420" s="567" t="s">
        <v>311</v>
      </c>
      <c r="F420" s="568">
        <f>SUM(F406:F419)</f>
        <v>269.33</v>
      </c>
      <c r="G420" s="469"/>
      <c r="H420" s="368"/>
      <c r="I420" s="368"/>
      <c r="J420" s="368"/>
    </row>
    <row r="422" spans="1:10" ht="13">
      <c r="A422" s="432" t="str">
        <f>medição!A51</f>
        <v>9.0</v>
      </c>
      <c r="B422" s="430" t="str">
        <f>medição!B51</f>
        <v>ESQUADRIAS/FERRAGENS/GRADES</v>
      </c>
      <c r="C422" s="430"/>
      <c r="D422" s="430"/>
      <c r="E422" s="430"/>
      <c r="F422" s="430"/>
      <c r="G422" s="430"/>
      <c r="H422" s="430"/>
      <c r="I422" s="430"/>
      <c r="J422" s="430"/>
    </row>
    <row r="424" spans="1:3" ht="27" customHeight="1">
      <c r="A424" s="459" t="str">
        <f>medição!A52</f>
        <v>9.1</v>
      </c>
      <c r="B424" s="573" t="str">
        <f>medição!B52</f>
        <v xml:space="preserve"> PORTA DE MADEIRA PARA PINTURA, SEMI-OCA (LEVE OU MÉDIA), 80X210CM, ESPESSURA DE 3,5CM, INCLUSO DOBRADIÇAS - FORNECIMENTO E INSTALAÇÃO. AF_12/2019</v>
      </c>
      <c r="C424" s="573"/>
    </row>
    <row r="425" spans="1:3" ht="13">
      <c r="A425" s="459"/>
      <c r="B425" s="459" t="s">
        <v>306</v>
      </c>
      <c r="C425" s="574" t="s">
        <v>309</v>
      </c>
    </row>
    <row r="426" spans="1:3" ht="13">
      <c r="A426" s="459"/>
      <c r="B426" s="575" t="s">
        <v>846</v>
      </c>
      <c r="C426" s="576">
        <v>22</v>
      </c>
    </row>
    <row r="427" spans="1:3" ht="13">
      <c r="A427" s="459"/>
      <c r="B427" s="577" t="s">
        <v>311</v>
      </c>
      <c r="C427" s="578">
        <f>SUM(C426:C426)</f>
        <v>22</v>
      </c>
    </row>
    <row r="428" spans="3:4" ht="13">
      <c r="C428" s="454"/>
      <c r="D428" s="454"/>
    </row>
    <row r="429" spans="1:6" ht="13">
      <c r="A429" s="459" t="str">
        <f>medição!A53</f>
        <v>9.2</v>
      </c>
      <c r="B429" s="579" t="str">
        <f>medição!B53</f>
        <v>PORTA EM ALUMÍNIO DE ABRIR TIPO VENEZIANA COM GUARNIÇÃO, FIXAÇÃO COM PARAFUSOS - FORNECIMENTO E INSTALAÇÃO. AF_12/2019</v>
      </c>
      <c r="C429" s="580"/>
      <c r="D429" s="580"/>
      <c r="E429" s="580"/>
      <c r="F429" s="581"/>
    </row>
    <row r="430" spans="1:6" ht="13">
      <c r="A430" s="459"/>
      <c r="B430" s="459" t="s">
        <v>306</v>
      </c>
      <c r="C430" s="485" t="s">
        <v>308</v>
      </c>
      <c r="D430" s="485" t="s">
        <v>740</v>
      </c>
      <c r="E430" s="485" t="s">
        <v>847</v>
      </c>
      <c r="F430" s="574" t="s">
        <v>309</v>
      </c>
    </row>
    <row r="431" spans="1:6" ht="13">
      <c r="A431" s="459"/>
      <c r="B431" s="575" t="s">
        <v>848</v>
      </c>
      <c r="C431" s="582">
        <v>1</v>
      </c>
      <c r="D431" s="582">
        <v>2.10</v>
      </c>
      <c r="E431" s="576">
        <v>2</v>
      </c>
      <c r="F431" s="583">
        <f>C431*D431*E431</f>
        <v>4.20</v>
      </c>
    </row>
    <row r="432" spans="1:6" ht="13">
      <c r="A432" s="459"/>
      <c r="B432" s="575" t="s">
        <v>849</v>
      </c>
      <c r="C432" s="582">
        <v>0.80</v>
      </c>
      <c r="D432" s="582">
        <v>2.10</v>
      </c>
      <c r="E432" s="576">
        <v>2</v>
      </c>
      <c r="F432" s="583">
        <f>C432*D432*E432</f>
        <v>3.36</v>
      </c>
    </row>
    <row r="433" spans="1:6" ht="13">
      <c r="A433" s="459"/>
      <c r="B433" s="577"/>
      <c r="C433" s="578"/>
      <c r="D433" s="447"/>
      <c r="E433" s="584" t="s">
        <v>311</v>
      </c>
      <c r="F433" s="578">
        <f>SUM(F431:F432)</f>
        <v>7.56</v>
      </c>
    </row>
    <row r="435" spans="1:3" ht="26.25" customHeight="1">
      <c r="A435" s="459" t="str">
        <f>medição!A54</f>
        <v>9.3</v>
      </c>
      <c r="B435" s="573" t="str">
        <f>medição!B54</f>
        <v xml:space="preserve"> PORTA DE MADEIRA PARA PINTURA, SEMI-OCA (LEVE OU MÉDIA), 90X210CM, ESPESSURA DE 3,5CM, INCLUSO DOBRADIÇAS - FORNECIMENTO E INSTALAÇÃO. AF_12/2019</v>
      </c>
      <c r="C435" s="573"/>
    </row>
    <row r="436" spans="1:3" ht="13">
      <c r="A436" s="459"/>
      <c r="B436" s="459" t="s">
        <v>306</v>
      </c>
      <c r="C436" s="574" t="s">
        <v>309</v>
      </c>
    </row>
    <row r="437" spans="1:3" ht="13">
      <c r="A437" s="459"/>
      <c r="B437" s="575" t="s">
        <v>850</v>
      </c>
      <c r="C437" s="576">
        <v>2</v>
      </c>
    </row>
    <row r="438" spans="1:3" ht="13">
      <c r="A438" s="459"/>
      <c r="B438" s="577" t="s">
        <v>311</v>
      </c>
      <c r="C438" s="578">
        <f>SUM(C437:C437)</f>
        <v>2</v>
      </c>
    </row>
    <row r="440" spans="1:6" ht="13">
      <c r="A440" s="459" t="str">
        <f>medição!A55</f>
        <v>9.4</v>
      </c>
      <c r="B440" s="579" t="str">
        <f>medição!B55</f>
        <v>PORTÃO DE FERRO 1/2'' C/ FERRAGENS (INCL. PINT. ANTI-CORROSIVA)</v>
      </c>
      <c r="C440" s="580"/>
      <c r="D440" s="580"/>
      <c r="E440" s="580"/>
      <c r="F440" s="581"/>
    </row>
    <row r="441" spans="1:6" ht="13">
      <c r="A441" s="459"/>
      <c r="B441" s="459" t="s">
        <v>306</v>
      </c>
      <c r="C441" s="485" t="s">
        <v>308</v>
      </c>
      <c r="D441" s="485" t="s">
        <v>740</v>
      </c>
      <c r="E441" s="485" t="s">
        <v>847</v>
      </c>
      <c r="F441" s="574" t="s">
        <v>309</v>
      </c>
    </row>
    <row r="442" spans="1:6" ht="13">
      <c r="A442" s="459"/>
      <c r="B442" s="575" t="s">
        <v>851</v>
      </c>
      <c r="C442" s="582">
        <v>1.20</v>
      </c>
      <c r="D442" s="582">
        <v>1</v>
      </c>
      <c r="E442" s="576">
        <v>2</v>
      </c>
      <c r="F442" s="583">
        <f>C442*D442*E442</f>
        <v>2.40</v>
      </c>
    </row>
    <row r="443" spans="1:6" ht="13">
      <c r="A443" s="459"/>
      <c r="B443" s="575" t="s">
        <v>852</v>
      </c>
      <c r="C443" s="582">
        <v>1.60</v>
      </c>
      <c r="D443" s="582">
        <v>2</v>
      </c>
      <c r="E443" s="576">
        <v>2</v>
      </c>
      <c r="F443" s="583">
        <f>C443*D443*E443</f>
        <v>6.40</v>
      </c>
    </row>
    <row r="444" spans="1:6" ht="13">
      <c r="A444" s="459"/>
      <c r="B444" s="575" t="s">
        <v>853</v>
      </c>
      <c r="C444" s="582">
        <v>0.80</v>
      </c>
      <c r="D444" s="582">
        <v>2</v>
      </c>
      <c r="E444" s="576">
        <v>1</v>
      </c>
      <c r="F444" s="583">
        <f>C444*D444*E444</f>
        <v>1.60</v>
      </c>
    </row>
    <row r="445" spans="1:6" ht="13">
      <c r="A445" s="459"/>
      <c r="B445" s="575" t="s">
        <v>854</v>
      </c>
      <c r="C445" s="582">
        <v>0.90</v>
      </c>
      <c r="D445" s="582">
        <v>2.2000000000000002</v>
      </c>
      <c r="E445" s="576">
        <v>1</v>
      </c>
      <c r="F445" s="583">
        <f>C445*D445*E445</f>
        <v>1.98</v>
      </c>
    </row>
    <row r="446" spans="1:6" ht="13">
      <c r="A446" s="459"/>
      <c r="B446" s="575" t="s">
        <v>855</v>
      </c>
      <c r="C446" s="582">
        <v>1.20</v>
      </c>
      <c r="D446" s="582">
        <v>2</v>
      </c>
      <c r="E446" s="576">
        <v>1</v>
      </c>
      <c r="F446" s="583">
        <f>C446*D446*E446</f>
        <v>2.40</v>
      </c>
    </row>
    <row r="447" spans="1:6" ht="13">
      <c r="A447" s="459"/>
      <c r="B447" s="577"/>
      <c r="C447" s="578"/>
      <c r="D447" s="447"/>
      <c r="E447" s="584" t="s">
        <v>311</v>
      </c>
      <c r="F447" s="585">
        <f>SUM(F442:F446)</f>
        <v>14.78</v>
      </c>
    </row>
    <row r="448" spans="1:6" ht="13">
      <c r="A448" s="586"/>
      <c r="B448" s="587"/>
      <c r="C448" s="482"/>
      <c r="D448" s="454"/>
      <c r="E448" s="457"/>
      <c r="F448" s="588"/>
    </row>
    <row r="449" spans="1:6" ht="13">
      <c r="A449" s="459" t="str">
        <f>medição!A56</f>
        <v>9.5</v>
      </c>
      <c r="B449" s="579" t="str">
        <f>medição!B56</f>
        <v>Portão em grade c/ chapa de ferro 3/16" - incl. ferragens e pintura antiferruginosa</v>
      </c>
      <c r="C449" s="580"/>
      <c r="D449" s="580"/>
      <c r="E449" s="580"/>
      <c r="F449" s="581"/>
    </row>
    <row r="450" spans="1:6" ht="13">
      <c r="A450" s="459"/>
      <c r="B450" s="459" t="s">
        <v>306</v>
      </c>
      <c r="C450" s="485" t="s">
        <v>308</v>
      </c>
      <c r="D450" s="485" t="s">
        <v>740</v>
      </c>
      <c r="E450" s="485" t="s">
        <v>847</v>
      </c>
      <c r="F450" s="574" t="s">
        <v>309</v>
      </c>
    </row>
    <row r="451" spans="1:6" ht="13">
      <c r="A451" s="459"/>
      <c r="B451" s="575" t="s">
        <v>856</v>
      </c>
      <c r="C451" s="582">
        <v>4</v>
      </c>
      <c r="D451" s="582">
        <v>2</v>
      </c>
      <c r="E451" s="576">
        <v>1</v>
      </c>
      <c r="F451" s="583">
        <f>C451*D451*E451</f>
        <v>8</v>
      </c>
    </row>
    <row r="452" spans="1:6" ht="13">
      <c r="A452" s="459"/>
      <c r="B452" s="577"/>
      <c r="C452" s="578"/>
      <c r="D452" s="447"/>
      <c r="E452" s="584" t="s">
        <v>311</v>
      </c>
      <c r="F452" s="585">
        <f>SUM(F451:F451)</f>
        <v>8</v>
      </c>
    </row>
    <row r="453" spans="1:6" ht="13">
      <c r="A453" s="586"/>
      <c r="B453" s="587"/>
      <c r="C453" s="482"/>
      <c r="D453" s="454"/>
      <c r="E453" s="457"/>
      <c r="F453" s="588"/>
    </row>
    <row r="454" spans="1:6" ht="13">
      <c r="A454" s="459" t="str">
        <f>medição!A57</f>
        <v>9.6</v>
      </c>
      <c r="B454" s="579" t="str">
        <f>medição!B57</f>
        <v>JANELA DE ALUMÍNIO TIPO MAXIM-AR, COM VIDROS, BATENTE E FERRAGENS, EXCLUSIVE ALIZAR, ACABAMENTO E CONTRAMARCO. FORNECIMENTO E INSTALAÇÃO. AF_12/2019</v>
      </c>
      <c r="C454" s="580"/>
      <c r="D454" s="580"/>
      <c r="E454" s="580"/>
      <c r="F454" s="581"/>
    </row>
    <row r="455" spans="1:6" ht="13">
      <c r="A455" s="459"/>
      <c r="B455" s="459" t="s">
        <v>306</v>
      </c>
      <c r="C455" s="485" t="s">
        <v>308</v>
      </c>
      <c r="D455" s="485" t="s">
        <v>740</v>
      </c>
      <c r="E455" s="485" t="s">
        <v>847</v>
      </c>
      <c r="F455" s="574" t="s">
        <v>309</v>
      </c>
    </row>
    <row r="456" spans="1:6" ht="13">
      <c r="A456" s="459"/>
      <c r="B456" s="575" t="s">
        <v>376</v>
      </c>
      <c r="C456" s="582">
        <v>1</v>
      </c>
      <c r="D456" s="582">
        <v>0.60</v>
      </c>
      <c r="E456" s="576">
        <v>1</v>
      </c>
      <c r="F456" s="583">
        <f>C456*D456*E456</f>
        <v>0.60</v>
      </c>
    </row>
    <row r="457" spans="1:6" ht="13">
      <c r="A457" s="459"/>
      <c r="B457" s="575" t="s">
        <v>379</v>
      </c>
      <c r="C457" s="582">
        <v>0.60</v>
      </c>
      <c r="D457" s="582">
        <v>0.60</v>
      </c>
      <c r="E457" s="576">
        <v>15</v>
      </c>
      <c r="F457" s="583">
        <f>C457*D457*E457</f>
        <v>5.40</v>
      </c>
    </row>
    <row r="458" spans="1:6" ht="13">
      <c r="A458" s="459"/>
      <c r="B458" s="577"/>
      <c r="C458" s="578"/>
      <c r="D458" s="447"/>
      <c r="E458" s="584" t="s">
        <v>311</v>
      </c>
      <c r="F458" s="585">
        <f>SUM(F456:F457)</f>
        <v>6</v>
      </c>
    </row>
    <row r="460" spans="1:6" ht="12" customHeight="1">
      <c r="A460" s="459" t="str">
        <f>medição!A58</f>
        <v>9.7</v>
      </c>
      <c r="B460" s="579" t="str">
        <f>medição!B58</f>
        <v>JANELA DE ALUMÍNIO DE CORRER COM 2 FOLHAS PARA VIDROS, COM VIDROS, BATENTE, ACABAMENTO COM ACETATO OU BRILHANTE E FERRAGENS. EXCLUSIVE ALIZAR E CONTRAMARCO. FORNECIMENTO E INSTALAÇÃO. AF_12/2019</v>
      </c>
      <c r="C460" s="580"/>
      <c r="D460" s="580"/>
      <c r="E460" s="580"/>
      <c r="F460" s="581"/>
    </row>
    <row r="461" spans="1:6" ht="13">
      <c r="A461" s="459"/>
      <c r="B461" s="459" t="s">
        <v>306</v>
      </c>
      <c r="C461" s="485" t="s">
        <v>308</v>
      </c>
      <c r="D461" s="485" t="s">
        <v>740</v>
      </c>
      <c r="E461" s="485" t="s">
        <v>847</v>
      </c>
      <c r="F461" s="574" t="s">
        <v>309</v>
      </c>
    </row>
    <row r="462" spans="1:6" ht="13">
      <c r="A462" s="459"/>
      <c r="B462" s="575" t="s">
        <v>857</v>
      </c>
      <c r="C462" s="582">
        <v>1.20</v>
      </c>
      <c r="D462" s="582">
        <v>1</v>
      </c>
      <c r="E462" s="576">
        <v>15</v>
      </c>
      <c r="F462" s="583">
        <f>C462*D462*E462</f>
        <v>18</v>
      </c>
    </row>
    <row r="463" spans="1:6" ht="13">
      <c r="A463" s="459"/>
      <c r="B463" s="577"/>
      <c r="C463" s="578"/>
      <c r="D463" s="447"/>
      <c r="E463" s="584" t="s">
        <v>311</v>
      </c>
      <c r="F463" s="585">
        <f>SUM(F462:F462)</f>
        <v>18</v>
      </c>
    </row>
    <row r="464" spans="1:6" ht="13">
      <c r="A464" s="586"/>
      <c r="B464" s="587"/>
      <c r="C464" s="482"/>
      <c r="D464" s="454"/>
      <c r="E464" s="457"/>
      <c r="F464" s="482"/>
    </row>
    <row r="465" spans="1:4" ht="13">
      <c r="A465" s="485" t="str">
        <f>medição!A59</f>
        <v>9.8</v>
      </c>
      <c r="B465" s="589" t="str">
        <f>medição!B59</f>
        <v>SOLEIRA EM GRANITO, LARGURA 15 CM, ESPESSURA 2,0 CM. AF_09/2020</v>
      </c>
      <c r="C465" s="589"/>
      <c r="D465" s="589"/>
    </row>
    <row r="466" spans="1:4" ht="13">
      <c r="A466" s="459"/>
      <c r="B466" s="459" t="s">
        <v>306</v>
      </c>
      <c r="C466" s="485" t="s">
        <v>739</v>
      </c>
      <c r="D466" s="485" t="s">
        <v>847</v>
      </c>
    </row>
    <row r="467" spans="1:4" ht="13">
      <c r="A467" s="459"/>
      <c r="B467" s="575" t="s">
        <v>846</v>
      </c>
      <c r="C467" s="582">
        <v>0.90</v>
      </c>
      <c r="D467" s="590">
        <f>C426</f>
        <v>22</v>
      </c>
    </row>
    <row r="468" spans="1:4" ht="13">
      <c r="A468" s="459"/>
      <c r="B468" s="575" t="s">
        <v>848</v>
      </c>
      <c r="C468" s="582">
        <v>1.1000000000000001</v>
      </c>
      <c r="D468" s="590">
        <v>2</v>
      </c>
    </row>
    <row r="469" spans="1:4" ht="13">
      <c r="A469" s="459"/>
      <c r="B469" s="575" t="s">
        <v>850</v>
      </c>
      <c r="C469" s="582">
        <v>1</v>
      </c>
      <c r="D469" s="590">
        <v>2</v>
      </c>
    </row>
    <row r="470" spans="1:4" ht="13">
      <c r="A470" s="459"/>
      <c r="B470" s="575" t="s">
        <v>849</v>
      </c>
      <c r="C470" s="582">
        <v>0.90</v>
      </c>
      <c r="D470" s="590">
        <v>2</v>
      </c>
    </row>
    <row r="471" spans="1:4" ht="13">
      <c r="A471" s="459"/>
      <c r="B471" s="575" t="s">
        <v>851</v>
      </c>
      <c r="C471" s="582">
        <v>1.1000000000000001</v>
      </c>
      <c r="D471" s="590">
        <v>1</v>
      </c>
    </row>
    <row r="472" spans="1:4" ht="13">
      <c r="A472" s="459"/>
      <c r="B472" s="575" t="s">
        <v>852</v>
      </c>
      <c r="C472" s="582">
        <v>1.30</v>
      </c>
      <c r="D472" s="590">
        <v>4</v>
      </c>
    </row>
    <row r="473" spans="1:4" ht="13">
      <c r="A473" s="459"/>
      <c r="B473" s="577"/>
      <c r="C473" s="584" t="s">
        <v>311</v>
      </c>
      <c r="D473" s="578">
        <f>SUM(D467:D472)</f>
        <v>33</v>
      </c>
    </row>
    <row r="475" spans="1:4" ht="24.75" customHeight="1">
      <c r="A475" s="485" t="str">
        <f>medição!A60</f>
        <v>9.9</v>
      </c>
      <c r="B475" s="589" t="str">
        <f>medição!B60</f>
        <v>PEITORIL  EM GRANITO OU MÁRMORE, L = 15CM, COMPRIMENTO DE ATÉ 2M, ASSENTADO COM ARGAMASSA 1:6 COM ADITIVO. AF_11/2020</v>
      </c>
      <c r="C475" s="589"/>
      <c r="D475" s="589"/>
    </row>
    <row r="476" spans="1:4" ht="13">
      <c r="A476" s="459"/>
      <c r="B476" s="459" t="s">
        <v>306</v>
      </c>
      <c r="C476" s="485" t="s">
        <v>739</v>
      </c>
      <c r="D476" s="485" t="s">
        <v>847</v>
      </c>
    </row>
    <row r="477" spans="1:4" ht="13">
      <c r="A477" s="459"/>
      <c r="B477" s="575" t="s">
        <v>857</v>
      </c>
      <c r="C477" s="582">
        <v>1.30</v>
      </c>
      <c r="D477" s="590" t="str">
        <f>C436</f>
        <v>Parcial</v>
      </c>
    </row>
    <row r="478" spans="1:4" ht="13">
      <c r="A478" s="459"/>
      <c r="B478" s="575" t="s">
        <v>376</v>
      </c>
      <c r="C478" s="582">
        <v>1.1000000000000001</v>
      </c>
      <c r="D478" s="590">
        <v>1</v>
      </c>
    </row>
    <row r="479" spans="1:4" ht="13">
      <c r="A479" s="459"/>
      <c r="B479" s="575" t="s">
        <v>379</v>
      </c>
      <c r="C479" s="582">
        <v>0.70</v>
      </c>
      <c r="D479" s="590">
        <f>C438</f>
        <v>2</v>
      </c>
    </row>
    <row r="480" spans="1:4" ht="13">
      <c r="A480" s="459"/>
      <c r="B480" s="577"/>
      <c r="C480" s="584" t="s">
        <v>311</v>
      </c>
      <c r="D480" s="578">
        <f>SUM(D478:D479)</f>
        <v>3</v>
      </c>
    </row>
    <row r="482" spans="1:3" ht="24" customHeight="1">
      <c r="A482" s="432" t="str">
        <f>medição!A61</f>
        <v>9.10</v>
      </c>
      <c r="B482" s="487" t="str">
        <f>medição!B61</f>
        <v>FECHADURA DE EMBUTIR PARA PORTAS INTERNAS, COMPLETA, ACABAMENTO PADRÃO POPULAR, COM EXECUÇÃO DE FURO - FORNECIMENTO E INSTALAÇÃO. AF_12/2019</v>
      </c>
      <c r="C482" s="487"/>
    </row>
    <row r="483" spans="1:3" ht="13">
      <c r="A483" s="432"/>
      <c r="B483" s="364" t="s">
        <v>306</v>
      </c>
      <c r="C483" s="364" t="s">
        <v>847</v>
      </c>
    </row>
    <row r="484" spans="1:3" ht="13">
      <c r="A484" s="591"/>
      <c r="B484" s="575" t="s">
        <v>846</v>
      </c>
      <c r="C484" s="592">
        <v>22</v>
      </c>
    </row>
    <row r="485" spans="1:3" ht="13">
      <c r="A485" s="591"/>
      <c r="B485" s="575" t="s">
        <v>848</v>
      </c>
      <c r="C485" s="592">
        <v>2</v>
      </c>
    </row>
    <row r="486" spans="1:3" ht="13">
      <c r="A486" s="591"/>
      <c r="B486" s="575" t="s">
        <v>850</v>
      </c>
      <c r="C486" s="592">
        <v>2</v>
      </c>
    </row>
    <row r="487" spans="1:3" ht="13">
      <c r="A487" s="591"/>
      <c r="B487" s="575" t="s">
        <v>849</v>
      </c>
      <c r="C487" s="592">
        <v>2</v>
      </c>
    </row>
    <row r="488" spans="1:3" ht="13">
      <c r="A488" s="591"/>
      <c r="B488" s="575" t="s">
        <v>852</v>
      </c>
      <c r="C488" s="592">
        <v>4</v>
      </c>
    </row>
    <row r="489" spans="1:3" ht="13">
      <c r="A489" s="591"/>
      <c r="B489" s="567" t="s">
        <v>311</v>
      </c>
      <c r="C489" s="593">
        <f>SUM(C484:C488)</f>
        <v>32</v>
      </c>
    </row>
    <row r="490" spans="1:3" ht="13">
      <c r="A490" s="594"/>
      <c r="B490" s="595"/>
      <c r="C490" s="595"/>
    </row>
    <row r="491" spans="1:3" ht="13">
      <c r="A491" s="432" t="str">
        <f>medição!A62</f>
        <v>9.11</v>
      </c>
      <c r="B491" s="430" t="str">
        <f>medição!B62</f>
        <v>FECHADURA DE EMBUTIR COM CILINDRO, EXTERNA</v>
      </c>
      <c r="C491" s="430"/>
    </row>
    <row r="492" spans="1:3" ht="13">
      <c r="A492" s="432"/>
      <c r="B492" s="364" t="s">
        <v>306</v>
      </c>
      <c r="C492" s="364" t="s">
        <v>847</v>
      </c>
    </row>
    <row r="493" spans="1:3" ht="13">
      <c r="A493" s="591"/>
      <c r="B493" s="575" t="s">
        <v>854</v>
      </c>
      <c r="C493" s="592">
        <v>1</v>
      </c>
    </row>
    <row r="494" spans="1:3" ht="13">
      <c r="A494" s="591"/>
      <c r="B494" s="567" t="s">
        <v>311</v>
      </c>
      <c r="C494" s="593">
        <f>SUM(C493:C493)</f>
        <v>1</v>
      </c>
    </row>
    <row r="495" spans="1:1" ht="13">
      <c r="A495" s="418"/>
    </row>
    <row r="496" spans="1:10" ht="13">
      <c r="A496" s="432" t="str">
        <f>medição!A64</f>
        <v>10.0</v>
      </c>
      <c r="B496" s="430" t="str">
        <f>medição!B64</f>
        <v>COBERTURA/CALHA/RUFO/FORRO</v>
      </c>
      <c r="C496" s="430"/>
      <c r="D496" s="430"/>
      <c r="E496" s="430"/>
      <c r="F496" s="430"/>
      <c r="G496" s="430"/>
      <c r="H496" s="430"/>
      <c r="I496" s="430"/>
      <c r="J496" s="430"/>
    </row>
    <row r="497" spans="1:1" ht="13">
      <c r="A497" s="418"/>
    </row>
    <row r="498" spans="1:3" ht="24.75" customHeight="1">
      <c r="A498" s="432" t="str">
        <f>medição!A65</f>
        <v>10.1</v>
      </c>
      <c r="B498" s="438" t="str">
        <f>medição!B65</f>
        <v>TRAMA DE MADEIRA COMPOSTA POR RIPAS, CAIBROS E TERÇAS PARA TELHADOS DE ATÉ 2 ÁGUAS PARA TELHA CERÂMICA CAPA-CANAL, INCLUSO TRANSPORTE VERTICAL. AF_07/2019</v>
      </c>
      <c r="C498" s="440"/>
    </row>
    <row r="499" spans="1:3" ht="13">
      <c r="A499" s="432"/>
      <c r="B499" s="345" t="s">
        <v>306</v>
      </c>
      <c r="C499" s="345" t="s">
        <v>779</v>
      </c>
    </row>
    <row r="500" spans="1:3" ht="13">
      <c r="A500" s="432"/>
      <c r="B500" s="596" t="s">
        <v>746</v>
      </c>
      <c r="C500" s="521">
        <v>327</v>
      </c>
    </row>
    <row r="501" spans="1:3" ht="13">
      <c r="A501" s="432"/>
      <c r="B501" s="567" t="s">
        <v>311</v>
      </c>
      <c r="C501" s="597">
        <f>SUM(C500:C500)</f>
        <v>327</v>
      </c>
    </row>
    <row r="503" spans="1:3" ht="24.75" customHeight="1">
      <c r="A503" s="432" t="str">
        <f>medição!A66</f>
        <v>10.2</v>
      </c>
      <c r="B503" s="438" t="str">
        <f>medição!B66</f>
        <v>TELHAMENTO COM TELHA CERÂMICA CAPA-CANAL, TIPO PLAN, COM MAIS DE 2 ÁGUAS, INCLUSO TRANSPORTE VERTICAL</v>
      </c>
      <c r="C503" s="440"/>
    </row>
    <row r="504" spans="1:3" ht="13">
      <c r="A504" s="432"/>
      <c r="B504" s="345" t="s">
        <v>306</v>
      </c>
      <c r="C504" s="345" t="s">
        <v>779</v>
      </c>
    </row>
    <row r="505" spans="1:3" ht="13">
      <c r="A505" s="432"/>
      <c r="B505" s="596" t="s">
        <v>746</v>
      </c>
      <c r="C505" s="521">
        <v>327</v>
      </c>
    </row>
    <row r="506" spans="1:3" ht="13">
      <c r="A506" s="432"/>
      <c r="B506" s="567" t="s">
        <v>311</v>
      </c>
      <c r="C506" s="597">
        <f>SUM(C505:C505)</f>
        <v>327</v>
      </c>
    </row>
    <row r="508" spans="1:3" ht="13">
      <c r="A508" s="432" t="str">
        <f>medição!A67</f>
        <v>10.3</v>
      </c>
      <c r="B508" s="460" t="str">
        <f>medição!B67</f>
        <v xml:space="preserve">PINTURA IMUNIZANTE PARA MADEIRA, 2 DEMÃOS. </v>
      </c>
      <c r="C508" s="598"/>
    </row>
    <row r="509" spans="1:3" ht="13">
      <c r="A509" s="432"/>
      <c r="B509" s="345" t="s">
        <v>306</v>
      </c>
      <c r="C509" s="345" t="s">
        <v>779</v>
      </c>
    </row>
    <row r="510" spans="1:3" ht="13">
      <c r="A510" s="432"/>
      <c r="B510" s="596" t="s">
        <v>746</v>
      </c>
      <c r="C510" s="521">
        <v>327</v>
      </c>
    </row>
    <row r="511" spans="1:3" ht="13">
      <c r="A511" s="432"/>
      <c r="B511" s="567" t="s">
        <v>311</v>
      </c>
      <c r="C511" s="597">
        <f>SUM(C510:C510)</f>
        <v>327</v>
      </c>
    </row>
    <row r="513" spans="1:3" ht="13">
      <c r="A513" s="432" t="str">
        <f>medição!A68</f>
        <v>10.4</v>
      </c>
      <c r="B513" s="438" t="str">
        <f>medição!B68</f>
        <v>COBERTURA EM POLICARBONATO FUMÊ - INCL. ESTR. METÁLICA</v>
      </c>
      <c r="C513" s="440"/>
    </row>
    <row r="514" spans="1:3" ht="13">
      <c r="A514" s="432"/>
      <c r="B514" s="345" t="s">
        <v>306</v>
      </c>
      <c r="C514" s="345" t="s">
        <v>779</v>
      </c>
    </row>
    <row r="515" spans="1:3" ht="13">
      <c r="A515" s="432"/>
      <c r="B515" s="596" t="s">
        <v>858</v>
      </c>
      <c r="C515" s="521">
        <v>25</v>
      </c>
    </row>
    <row r="516" spans="1:3" ht="13">
      <c r="A516" s="432"/>
      <c r="B516" s="567" t="s">
        <v>311</v>
      </c>
      <c r="C516" s="597">
        <f>SUM(C515:C515)</f>
        <v>25</v>
      </c>
    </row>
    <row r="518" spans="1:3" ht="13">
      <c r="A518" s="432" t="str">
        <f>medição!A69</f>
        <v>10.5</v>
      </c>
      <c r="B518" s="438" t="str">
        <f>medição!B69</f>
        <v>FORRO DE PVC, LISO, PARA AMBIENTES COMERCIAIS, INCLUSIVE ESTRUTURA DE FIXAÇÃO.</v>
      </c>
      <c r="C518" s="440"/>
    </row>
    <row r="519" spans="1:3" ht="13">
      <c r="A519" s="432"/>
      <c r="B519" s="599" t="s">
        <v>306</v>
      </c>
      <c r="C519" s="345" t="s">
        <v>309</v>
      </c>
    </row>
    <row r="520" spans="1:3" ht="13">
      <c r="A520" s="432"/>
      <c r="B520" s="354" t="s">
        <v>780</v>
      </c>
      <c r="C520" s="521">
        <v>4.50</v>
      </c>
    </row>
    <row r="521" spans="1:3" ht="13">
      <c r="A521" s="432"/>
      <c r="B521" s="354" t="s">
        <v>781</v>
      </c>
      <c r="C521" s="521">
        <v>9</v>
      </c>
    </row>
    <row r="522" spans="1:3" ht="13">
      <c r="A522" s="432"/>
      <c r="B522" s="354" t="s">
        <v>782</v>
      </c>
      <c r="C522" s="521">
        <v>7.56</v>
      </c>
    </row>
    <row r="523" spans="1:3" ht="13">
      <c r="A523" s="432"/>
      <c r="B523" s="354" t="s">
        <v>783</v>
      </c>
      <c r="C523" s="521">
        <v>3.60</v>
      </c>
    </row>
    <row r="524" spans="1:3" ht="13">
      <c r="A524" s="432"/>
      <c r="B524" s="354" t="s">
        <v>784</v>
      </c>
      <c r="C524" s="521">
        <v>3.06</v>
      </c>
    </row>
    <row r="525" spans="1:3" ht="13">
      <c r="A525" s="432"/>
      <c r="B525" s="354" t="s">
        <v>785</v>
      </c>
      <c r="C525" s="521">
        <v>3.45</v>
      </c>
    </row>
    <row r="526" spans="1:3" ht="13">
      <c r="A526" s="432"/>
      <c r="B526" s="354" t="s">
        <v>786</v>
      </c>
      <c r="C526" s="521">
        <v>3.45</v>
      </c>
    </row>
    <row r="527" spans="1:3" ht="13">
      <c r="A527" s="432"/>
      <c r="B527" s="354" t="s">
        <v>787</v>
      </c>
      <c r="C527" s="521">
        <v>20</v>
      </c>
    </row>
    <row r="528" spans="1:3" ht="13">
      <c r="A528" s="432"/>
      <c r="B528" s="354" t="s">
        <v>788</v>
      </c>
      <c r="C528" s="521">
        <v>11.80</v>
      </c>
    </row>
    <row r="529" spans="1:3" ht="13">
      <c r="A529" s="432"/>
      <c r="B529" s="354" t="s">
        <v>809</v>
      </c>
      <c r="C529" s="521">
        <v>14.20</v>
      </c>
    </row>
    <row r="530" spans="1:3" ht="13">
      <c r="A530" s="432"/>
      <c r="B530" s="354" t="s">
        <v>859</v>
      </c>
      <c r="C530" s="521">
        <v>26.47</v>
      </c>
    </row>
    <row r="531" spans="1:3" ht="13">
      <c r="A531" s="432"/>
      <c r="B531" s="354" t="s">
        <v>789</v>
      </c>
      <c r="C531" s="521">
        <v>18</v>
      </c>
    </row>
    <row r="532" spans="1:3" ht="13">
      <c r="A532" s="432"/>
      <c r="B532" s="354" t="s">
        <v>790</v>
      </c>
      <c r="C532" s="521">
        <v>4.80</v>
      </c>
    </row>
    <row r="533" spans="1:3" ht="13">
      <c r="A533" s="432"/>
      <c r="B533" s="354" t="s">
        <v>791</v>
      </c>
      <c r="C533" s="521">
        <v>3.20</v>
      </c>
    </row>
    <row r="534" spans="1:3" ht="13">
      <c r="A534" s="432"/>
      <c r="B534" s="354" t="s">
        <v>792</v>
      </c>
      <c r="C534" s="521">
        <v>3.20</v>
      </c>
    </row>
    <row r="535" spans="1:3" ht="13">
      <c r="A535" s="432"/>
      <c r="B535" s="354" t="s">
        <v>793</v>
      </c>
      <c r="C535" s="521">
        <v>3.26</v>
      </c>
    </row>
    <row r="536" spans="1:3" ht="13">
      <c r="A536" s="432"/>
      <c r="B536" s="354" t="s">
        <v>794</v>
      </c>
      <c r="C536" s="521">
        <v>3.26</v>
      </c>
    </row>
    <row r="537" spans="1:3" ht="13">
      <c r="A537" s="432"/>
      <c r="B537" s="354" t="s">
        <v>795</v>
      </c>
      <c r="C537" s="521">
        <v>5</v>
      </c>
    </row>
    <row r="538" spans="1:3" ht="13">
      <c r="A538" s="432"/>
      <c r="B538" s="354" t="s">
        <v>796</v>
      </c>
      <c r="C538" s="521">
        <v>9</v>
      </c>
    </row>
    <row r="539" spans="1:3" ht="13">
      <c r="A539" s="432"/>
      <c r="B539" s="354" t="s">
        <v>797</v>
      </c>
      <c r="C539" s="521">
        <v>3.38</v>
      </c>
    </row>
    <row r="540" spans="1:3" ht="13">
      <c r="A540" s="432"/>
      <c r="B540" s="354" t="s">
        <v>798</v>
      </c>
      <c r="C540" s="521">
        <v>10.82</v>
      </c>
    </row>
    <row r="541" spans="1:3" ht="13">
      <c r="A541" s="432"/>
      <c r="B541" s="354" t="s">
        <v>799</v>
      </c>
      <c r="C541" s="521">
        <v>24.08</v>
      </c>
    </row>
    <row r="542" spans="1:3" ht="13">
      <c r="A542" s="485"/>
      <c r="B542" s="354" t="s">
        <v>800</v>
      </c>
      <c r="C542" s="521">
        <v>9</v>
      </c>
    </row>
    <row r="543" spans="1:3" ht="13">
      <c r="A543" s="485"/>
      <c r="B543" s="354" t="s">
        <v>801</v>
      </c>
      <c r="C543" s="521">
        <v>9</v>
      </c>
    </row>
    <row r="544" spans="1:3" ht="13">
      <c r="A544" s="485"/>
      <c r="B544" s="354" t="s">
        <v>802</v>
      </c>
      <c r="C544" s="521">
        <v>9</v>
      </c>
    </row>
    <row r="545" spans="1:3" ht="13">
      <c r="A545" s="485"/>
      <c r="B545" s="354" t="s">
        <v>803</v>
      </c>
      <c r="C545" s="521">
        <v>9</v>
      </c>
    </row>
    <row r="546" spans="1:3" ht="13">
      <c r="A546" s="485"/>
      <c r="B546" s="354" t="s">
        <v>804</v>
      </c>
      <c r="C546" s="521">
        <v>6.40</v>
      </c>
    </row>
    <row r="547" spans="1:3" ht="13">
      <c r="A547" s="485"/>
      <c r="B547" s="354" t="s">
        <v>805</v>
      </c>
      <c r="C547" s="521">
        <v>23.48</v>
      </c>
    </row>
    <row r="548" spans="1:3" ht="13">
      <c r="A548" s="485"/>
      <c r="B548" s="354" t="s">
        <v>806</v>
      </c>
      <c r="C548" s="521">
        <v>7.50</v>
      </c>
    </row>
    <row r="549" spans="1:3" ht="13">
      <c r="A549" s="485"/>
      <c r="B549" s="354" t="s">
        <v>807</v>
      </c>
      <c r="C549" s="521">
        <v>7.50</v>
      </c>
    </row>
    <row r="550" spans="1:3" ht="13">
      <c r="A550" s="485"/>
      <c r="B550" s="354" t="s">
        <v>808</v>
      </c>
      <c r="C550" s="521">
        <v>16.170000000000002</v>
      </c>
    </row>
    <row r="551" spans="1:3" ht="13">
      <c r="A551" s="485"/>
      <c r="B551" s="584" t="s">
        <v>311</v>
      </c>
      <c r="C551" s="600">
        <f>SUM(C520:C550)</f>
        <v>292.14</v>
      </c>
    </row>
    <row r="553" spans="1:3" ht="13">
      <c r="A553" s="432" t="str">
        <f>medição!A70</f>
        <v>10.6</v>
      </c>
      <c r="B553" s="438" t="str">
        <f>medição!B70</f>
        <v>CALHA EM CHAPA DE AÇO GALVANIZADO NÚMERO 24, DESENVOLVIMENTO DE 50 CM, INCLUSO TRANSPORTE VERTICAL.</v>
      </c>
      <c r="C553" s="440"/>
    </row>
    <row r="554" spans="1:3" ht="13">
      <c r="A554" s="432"/>
      <c r="B554" s="345" t="s">
        <v>306</v>
      </c>
      <c r="C554" s="345" t="s">
        <v>779</v>
      </c>
    </row>
    <row r="555" spans="1:3" ht="13">
      <c r="A555" s="432"/>
      <c r="B555" s="596" t="s">
        <v>860</v>
      </c>
      <c r="C555" s="489">
        <v>75</v>
      </c>
    </row>
    <row r="556" spans="1:3" ht="13">
      <c r="A556" s="432"/>
      <c r="B556" s="567" t="s">
        <v>311</v>
      </c>
      <c r="C556" s="567">
        <f>SUM(C555:C555)</f>
        <v>75</v>
      </c>
    </row>
    <row r="557" spans="1:1" ht="13">
      <c r="A557" s="418"/>
    </row>
    <row r="558" spans="1:3" ht="13">
      <c r="A558" s="432" t="str">
        <f>medição!A71</f>
        <v>10.7</v>
      </c>
      <c r="B558" s="438" t="str">
        <f>medição!B71</f>
        <v>RUFO EM CHAPA DE AÇO GALVANIZADO NÚMERO 24, CORTE DE 33 CM</v>
      </c>
      <c r="C558" s="440"/>
    </row>
    <row r="559" spans="1:3" ht="13">
      <c r="A559" s="432"/>
      <c r="B559" s="345" t="s">
        <v>306</v>
      </c>
      <c r="C559" s="345" t="s">
        <v>779</v>
      </c>
    </row>
    <row r="560" spans="1:3" ht="13">
      <c r="A560" s="432"/>
      <c r="B560" s="596" t="s">
        <v>860</v>
      </c>
      <c r="C560" s="489">
        <v>17</v>
      </c>
    </row>
    <row r="561" spans="1:3" ht="13">
      <c r="A561" s="432"/>
      <c r="B561" s="567" t="s">
        <v>311</v>
      </c>
      <c r="C561" s="567">
        <f>SUM(C560:C560)</f>
        <v>17</v>
      </c>
    </row>
    <row r="562" spans="1:1" ht="13">
      <c r="A562" s="418"/>
    </row>
    <row r="563" spans="1:3" ht="37.5" customHeight="1">
      <c r="A563" s="432" t="str">
        <f>medição!A72</f>
        <v>10.8</v>
      </c>
      <c r="B563" s="438" t="str">
        <f>medição!B72</f>
        <v>CUMEEIRA E ESPIGÃO PARA TELHA CERÂMICA EMBOÇADA COM ARGAMASSA TRAÇO 1:2:9 (CIMENTO, CAL E AREIA), PARA TELHADOS COM MAIS DE 2 ÁGUAS INCLUSO TRANSPORTE VERTICAL. AF_07/2019</v>
      </c>
      <c r="C563" s="440"/>
    </row>
    <row r="564" spans="1:3" ht="13">
      <c r="A564" s="432"/>
      <c r="B564" s="345" t="s">
        <v>306</v>
      </c>
      <c r="C564" s="345" t="s">
        <v>779</v>
      </c>
    </row>
    <row r="565" spans="1:3" ht="13">
      <c r="A565" s="432"/>
      <c r="B565" s="596" t="s">
        <v>860</v>
      </c>
      <c r="C565" s="489">
        <v>47</v>
      </c>
    </row>
    <row r="566" spans="1:3" ht="13">
      <c r="A566" s="432"/>
      <c r="B566" s="567" t="s">
        <v>311</v>
      </c>
      <c r="C566" s="567">
        <f>SUM(C565:C565)</f>
        <v>47</v>
      </c>
    </row>
    <row r="567" spans="1:1" ht="13">
      <c r="A567" s="418"/>
    </row>
    <row r="568" spans="1:3" ht="24.75" customHeight="1">
      <c r="A568" s="350" t="str">
        <f>medição!A75</f>
        <v>11.1</v>
      </c>
      <c r="B568" s="438" t="str">
        <f>medição!B75</f>
        <v>CONTRAPISO EM ARGAMASSA TRAÇO 1:4 (CIM E AREIA), EM BETONEIRA 400 L, ESPESSURA 3 CM ÁREAS SECAS E 3 CM ÁREAS MOLHADAS, PARA EDIFICAÇÃO HABITACIONAL UNIFAMILIAR (CASA) E EDIFICAÇÃO PÚBLICA PADRÃO. AF_11/2014</v>
      </c>
      <c r="C568" s="440"/>
    </row>
    <row r="569" spans="1:3" ht="13">
      <c r="A569" s="432"/>
      <c r="B569" s="345" t="s">
        <v>306</v>
      </c>
      <c r="C569" s="345" t="s">
        <v>779</v>
      </c>
    </row>
    <row r="570" spans="1:3" ht="13">
      <c r="A570" s="432"/>
      <c r="B570" s="354" t="s">
        <v>780</v>
      </c>
      <c r="C570" s="521">
        <v>4.50</v>
      </c>
    </row>
    <row r="571" spans="1:3" ht="13">
      <c r="A571" s="432"/>
      <c r="B571" s="354" t="s">
        <v>781</v>
      </c>
      <c r="C571" s="521">
        <v>9</v>
      </c>
    </row>
    <row r="572" spans="1:3" ht="13">
      <c r="A572" s="432"/>
      <c r="B572" s="354" t="s">
        <v>782</v>
      </c>
      <c r="C572" s="521">
        <v>7.56</v>
      </c>
    </row>
    <row r="573" spans="1:3" ht="13">
      <c r="A573" s="432"/>
      <c r="B573" s="354" t="s">
        <v>783</v>
      </c>
      <c r="C573" s="521">
        <v>3.60</v>
      </c>
    </row>
    <row r="574" spans="1:3" ht="13">
      <c r="A574" s="432"/>
      <c r="B574" s="354" t="s">
        <v>784</v>
      </c>
      <c r="C574" s="521">
        <v>3.06</v>
      </c>
    </row>
    <row r="575" spans="1:3" ht="13">
      <c r="A575" s="432"/>
      <c r="B575" s="354" t="s">
        <v>785</v>
      </c>
      <c r="C575" s="521">
        <v>3.45</v>
      </c>
    </row>
    <row r="576" spans="1:3" ht="13">
      <c r="A576" s="432"/>
      <c r="B576" s="354" t="s">
        <v>786</v>
      </c>
      <c r="C576" s="521">
        <v>3.45</v>
      </c>
    </row>
    <row r="577" spans="1:3" ht="13">
      <c r="A577" s="432"/>
      <c r="B577" s="354" t="s">
        <v>787</v>
      </c>
      <c r="C577" s="521">
        <v>20</v>
      </c>
    </row>
    <row r="578" spans="1:3" ht="13">
      <c r="A578" s="432"/>
      <c r="B578" s="354" t="s">
        <v>788</v>
      </c>
      <c r="C578" s="521">
        <v>11.80</v>
      </c>
    </row>
    <row r="579" spans="1:3" ht="13">
      <c r="A579" s="432"/>
      <c r="B579" s="354" t="s">
        <v>809</v>
      </c>
      <c r="C579" s="521">
        <v>14.20</v>
      </c>
    </row>
    <row r="580" spans="1:3" ht="13">
      <c r="A580" s="432"/>
      <c r="B580" s="354" t="s">
        <v>859</v>
      </c>
      <c r="C580" s="521">
        <v>26.47</v>
      </c>
    </row>
    <row r="581" spans="1:3" ht="13">
      <c r="A581" s="432"/>
      <c r="B581" s="354" t="s">
        <v>789</v>
      </c>
      <c r="C581" s="521">
        <v>18</v>
      </c>
    </row>
    <row r="582" spans="1:3" ht="13">
      <c r="A582" s="432"/>
      <c r="B582" s="354" t="s">
        <v>790</v>
      </c>
      <c r="C582" s="521">
        <v>4.80</v>
      </c>
    </row>
    <row r="583" spans="1:3" ht="13">
      <c r="A583" s="432"/>
      <c r="B583" s="354" t="s">
        <v>791</v>
      </c>
      <c r="C583" s="521">
        <v>3.20</v>
      </c>
    </row>
    <row r="584" spans="1:3" ht="13">
      <c r="A584" s="432"/>
      <c r="B584" s="354" t="s">
        <v>792</v>
      </c>
      <c r="C584" s="521">
        <v>3.20</v>
      </c>
    </row>
    <row r="585" spans="1:3" ht="13">
      <c r="A585" s="432"/>
      <c r="B585" s="354" t="s">
        <v>793</v>
      </c>
      <c r="C585" s="521">
        <v>3.26</v>
      </c>
    </row>
    <row r="586" spans="1:3" ht="13">
      <c r="A586" s="432"/>
      <c r="B586" s="354" t="s">
        <v>794</v>
      </c>
      <c r="C586" s="521">
        <v>3.26</v>
      </c>
    </row>
    <row r="587" spans="1:3" ht="13">
      <c r="A587" s="432"/>
      <c r="B587" s="354" t="s">
        <v>795</v>
      </c>
      <c r="C587" s="521">
        <v>5</v>
      </c>
    </row>
    <row r="588" spans="1:3" ht="13">
      <c r="A588" s="432"/>
      <c r="B588" s="354" t="s">
        <v>796</v>
      </c>
      <c r="C588" s="521">
        <v>9</v>
      </c>
    </row>
    <row r="589" spans="1:3" ht="13">
      <c r="A589" s="432"/>
      <c r="B589" s="354" t="s">
        <v>797</v>
      </c>
      <c r="C589" s="521">
        <v>3.38</v>
      </c>
    </row>
    <row r="590" spans="1:3" ht="13">
      <c r="A590" s="432"/>
      <c r="B590" s="354" t="s">
        <v>798</v>
      </c>
      <c r="C590" s="521">
        <v>10.82</v>
      </c>
    </row>
    <row r="591" spans="1:3" ht="13">
      <c r="A591" s="432"/>
      <c r="B591" s="354" t="s">
        <v>799</v>
      </c>
      <c r="C591" s="521">
        <v>24.08</v>
      </c>
    </row>
    <row r="592" spans="1:3" ht="13">
      <c r="A592" s="432"/>
      <c r="B592" s="354" t="s">
        <v>800</v>
      </c>
      <c r="C592" s="521">
        <v>9</v>
      </c>
    </row>
    <row r="593" spans="1:3" ht="13">
      <c r="A593" s="432"/>
      <c r="B593" s="354" t="s">
        <v>801</v>
      </c>
      <c r="C593" s="521">
        <v>9</v>
      </c>
    </row>
    <row r="594" spans="1:3" ht="13">
      <c r="A594" s="432"/>
      <c r="B594" s="354" t="s">
        <v>802</v>
      </c>
      <c r="C594" s="521">
        <v>9</v>
      </c>
    </row>
    <row r="595" spans="1:3" ht="13">
      <c r="A595" s="432"/>
      <c r="B595" s="354" t="s">
        <v>803</v>
      </c>
      <c r="C595" s="521">
        <v>9</v>
      </c>
    </row>
    <row r="596" spans="1:3" ht="13">
      <c r="A596" s="432"/>
      <c r="B596" s="354" t="s">
        <v>804</v>
      </c>
      <c r="C596" s="521">
        <v>6.40</v>
      </c>
    </row>
    <row r="597" spans="1:3" ht="13">
      <c r="A597" s="432"/>
      <c r="B597" s="354" t="s">
        <v>805</v>
      </c>
      <c r="C597" s="521">
        <v>23.48</v>
      </c>
    </row>
    <row r="598" spans="1:3" ht="13">
      <c r="A598" s="432"/>
      <c r="B598" s="354" t="s">
        <v>806</v>
      </c>
      <c r="C598" s="521">
        <v>7.50</v>
      </c>
    </row>
    <row r="599" spans="1:3" ht="13">
      <c r="A599" s="432"/>
      <c r="B599" s="354" t="s">
        <v>807</v>
      </c>
      <c r="C599" s="521">
        <v>7.50</v>
      </c>
    </row>
    <row r="600" spans="1:3" ht="13">
      <c r="A600" s="432"/>
      <c r="B600" s="354" t="s">
        <v>808</v>
      </c>
      <c r="C600" s="521">
        <v>16.170000000000002</v>
      </c>
    </row>
    <row r="601" spans="1:3" ht="13">
      <c r="A601" s="432"/>
      <c r="B601" s="354" t="s">
        <v>861</v>
      </c>
      <c r="C601" s="521">
        <f>27.43</f>
        <v>27.43</v>
      </c>
    </row>
    <row r="602" spans="1:3" ht="13">
      <c r="A602" s="432"/>
      <c r="B602" s="354" t="s">
        <v>862</v>
      </c>
      <c r="C602" s="521">
        <v>216</v>
      </c>
    </row>
    <row r="603" spans="1:3" ht="13">
      <c r="A603" s="432"/>
      <c r="B603" s="567" t="s">
        <v>311</v>
      </c>
      <c r="C603" s="597">
        <f>SUM(C570:C602)</f>
        <v>535.57000000000005</v>
      </c>
    </row>
    <row r="604" spans="1:3" ht="13">
      <c r="A604" s="601"/>
      <c r="B604" s="595"/>
      <c r="C604" s="602"/>
    </row>
    <row r="605" spans="1:3" ht="24.75" customHeight="1">
      <c r="A605" s="350" t="str">
        <f>medição!A76</f>
        <v>11.2</v>
      </c>
      <c r="B605" s="438" t="str">
        <f>medição!B76</f>
        <v xml:space="preserve">IMPERMEABILIZAÇÃO DE PISO COM ARGAMASSA DE CIMENTO E AREIA, COM ADITIVO IMPERMEABILIZANTE, E = 2CM. </v>
      </c>
      <c r="C605" s="440"/>
    </row>
    <row r="606" spans="1:3" ht="13">
      <c r="A606" s="432"/>
      <c r="B606" s="345" t="s">
        <v>306</v>
      </c>
      <c r="C606" s="345" t="s">
        <v>779</v>
      </c>
    </row>
    <row r="607" spans="1:3" ht="13">
      <c r="A607" s="432"/>
      <c r="B607" s="528" t="s">
        <v>746</v>
      </c>
      <c r="C607" s="521"/>
    </row>
    <row r="608" spans="1:3" ht="13">
      <c r="A608" s="432"/>
      <c r="B608" s="354" t="s">
        <v>780</v>
      </c>
      <c r="C608" s="521">
        <v>4.50</v>
      </c>
    </row>
    <row r="609" spans="1:3" ht="13">
      <c r="A609" s="432"/>
      <c r="B609" s="354" t="s">
        <v>781</v>
      </c>
      <c r="C609" s="521">
        <v>9</v>
      </c>
    </row>
    <row r="610" spans="1:3" ht="13">
      <c r="A610" s="432"/>
      <c r="B610" s="354" t="s">
        <v>782</v>
      </c>
      <c r="C610" s="521">
        <v>7.56</v>
      </c>
    </row>
    <row r="611" spans="1:3" ht="13">
      <c r="A611" s="432"/>
      <c r="B611" s="354" t="s">
        <v>783</v>
      </c>
      <c r="C611" s="521">
        <v>3.60</v>
      </c>
    </row>
    <row r="612" spans="1:3" ht="13">
      <c r="A612" s="432"/>
      <c r="B612" s="354" t="s">
        <v>784</v>
      </c>
      <c r="C612" s="521">
        <v>3.06</v>
      </c>
    </row>
    <row r="613" spans="1:3" ht="13">
      <c r="A613" s="432"/>
      <c r="B613" s="354" t="s">
        <v>785</v>
      </c>
      <c r="C613" s="521">
        <v>3.45</v>
      </c>
    </row>
    <row r="614" spans="1:3" ht="13">
      <c r="A614" s="432"/>
      <c r="B614" s="354" t="s">
        <v>786</v>
      </c>
      <c r="C614" s="521">
        <v>3.45</v>
      </c>
    </row>
    <row r="615" spans="1:3" ht="13">
      <c r="A615" s="432"/>
      <c r="B615" s="354" t="s">
        <v>787</v>
      </c>
      <c r="C615" s="521">
        <v>20</v>
      </c>
    </row>
    <row r="616" spans="1:3" ht="13">
      <c r="A616" s="432"/>
      <c r="B616" s="354" t="s">
        <v>788</v>
      </c>
      <c r="C616" s="521">
        <v>11.80</v>
      </c>
    </row>
    <row r="617" spans="1:3" ht="13">
      <c r="A617" s="432"/>
      <c r="B617" s="354" t="s">
        <v>809</v>
      </c>
      <c r="C617" s="521">
        <v>14.20</v>
      </c>
    </row>
    <row r="618" spans="1:3" ht="13">
      <c r="A618" s="432"/>
      <c r="B618" s="354" t="s">
        <v>859</v>
      </c>
      <c r="C618" s="521">
        <v>26.47</v>
      </c>
    </row>
    <row r="619" spans="1:3" ht="13">
      <c r="A619" s="432"/>
      <c r="B619" s="354" t="s">
        <v>789</v>
      </c>
      <c r="C619" s="521">
        <v>18</v>
      </c>
    </row>
    <row r="620" spans="1:3" ht="13">
      <c r="A620" s="432"/>
      <c r="B620" s="354" t="s">
        <v>790</v>
      </c>
      <c r="C620" s="521">
        <v>4.80</v>
      </c>
    </row>
    <row r="621" spans="1:3" ht="13">
      <c r="A621" s="432"/>
      <c r="B621" s="354" t="s">
        <v>791</v>
      </c>
      <c r="C621" s="521">
        <v>3.20</v>
      </c>
    </row>
    <row r="622" spans="1:3" ht="13">
      <c r="A622" s="432"/>
      <c r="B622" s="354" t="s">
        <v>792</v>
      </c>
      <c r="C622" s="521">
        <v>3.20</v>
      </c>
    </row>
    <row r="623" spans="1:3" ht="13">
      <c r="A623" s="432"/>
      <c r="B623" s="354" t="s">
        <v>793</v>
      </c>
      <c r="C623" s="521">
        <v>3.26</v>
      </c>
    </row>
    <row r="624" spans="1:3" ht="13">
      <c r="A624" s="432"/>
      <c r="B624" s="354" t="s">
        <v>794</v>
      </c>
      <c r="C624" s="521">
        <v>3.26</v>
      </c>
    </row>
    <row r="625" spans="1:3" ht="13">
      <c r="A625" s="432"/>
      <c r="B625" s="354" t="s">
        <v>795</v>
      </c>
      <c r="C625" s="521">
        <v>5</v>
      </c>
    </row>
    <row r="626" spans="1:3" ht="13">
      <c r="A626" s="432"/>
      <c r="B626" s="354" t="s">
        <v>796</v>
      </c>
      <c r="C626" s="521">
        <v>9</v>
      </c>
    </row>
    <row r="627" spans="1:3" ht="13">
      <c r="A627" s="432"/>
      <c r="B627" s="354" t="s">
        <v>797</v>
      </c>
      <c r="C627" s="521">
        <v>3.38</v>
      </c>
    </row>
    <row r="628" spans="1:3" ht="13">
      <c r="A628" s="432"/>
      <c r="B628" s="354" t="s">
        <v>798</v>
      </c>
      <c r="C628" s="521">
        <v>10.82</v>
      </c>
    </row>
    <row r="629" spans="1:3" ht="13">
      <c r="A629" s="432"/>
      <c r="B629" s="354" t="s">
        <v>799</v>
      </c>
      <c r="C629" s="521">
        <v>24.08</v>
      </c>
    </row>
    <row r="630" spans="1:3" ht="13">
      <c r="A630" s="432"/>
      <c r="B630" s="354" t="s">
        <v>800</v>
      </c>
      <c r="C630" s="521">
        <v>9</v>
      </c>
    </row>
    <row r="631" spans="1:3" ht="13">
      <c r="A631" s="432"/>
      <c r="B631" s="354" t="s">
        <v>801</v>
      </c>
      <c r="C631" s="521">
        <v>9</v>
      </c>
    </row>
    <row r="632" spans="1:3" ht="13">
      <c r="A632" s="432"/>
      <c r="B632" s="354" t="s">
        <v>802</v>
      </c>
      <c r="C632" s="521">
        <v>9</v>
      </c>
    </row>
    <row r="633" spans="1:3" ht="13">
      <c r="A633" s="432"/>
      <c r="B633" s="354" t="s">
        <v>803</v>
      </c>
      <c r="C633" s="521">
        <v>9</v>
      </c>
    </row>
    <row r="634" spans="1:3" ht="13">
      <c r="A634" s="432"/>
      <c r="B634" s="354" t="s">
        <v>804</v>
      </c>
      <c r="C634" s="521">
        <v>6.40</v>
      </c>
    </row>
    <row r="635" spans="1:3" ht="13">
      <c r="A635" s="432"/>
      <c r="B635" s="354" t="s">
        <v>805</v>
      </c>
      <c r="C635" s="521">
        <v>23.48</v>
      </c>
    </row>
    <row r="636" spans="1:3" ht="13">
      <c r="A636" s="432"/>
      <c r="B636" s="354" t="s">
        <v>806</v>
      </c>
      <c r="C636" s="521">
        <v>7.50</v>
      </c>
    </row>
    <row r="637" spans="1:3" ht="13">
      <c r="A637" s="432"/>
      <c r="B637" s="354" t="s">
        <v>807</v>
      </c>
      <c r="C637" s="521">
        <v>7.50</v>
      </c>
    </row>
    <row r="638" spans="1:3" ht="13">
      <c r="A638" s="432"/>
      <c r="B638" s="354" t="s">
        <v>808</v>
      </c>
      <c r="C638" s="521">
        <v>16.170000000000002</v>
      </c>
    </row>
    <row r="639" spans="1:3" ht="13">
      <c r="A639" s="432"/>
      <c r="B639" s="354" t="s">
        <v>861</v>
      </c>
      <c r="C639" s="521">
        <f>27.43</f>
        <v>27.43</v>
      </c>
    </row>
    <row r="640" spans="1:3" ht="13">
      <c r="A640" s="432"/>
      <c r="B640" s="354" t="s">
        <v>862</v>
      </c>
      <c r="C640" s="521">
        <v>216</v>
      </c>
    </row>
    <row r="641" spans="1:3" ht="13">
      <c r="A641" s="432"/>
      <c r="B641" s="567" t="s">
        <v>311</v>
      </c>
      <c r="C641" s="597">
        <f>SUM(C608:C640)</f>
        <v>535.57000000000005</v>
      </c>
    </row>
    <row r="643" spans="1:3" ht="24.75" customHeight="1">
      <c r="A643" s="350" t="str">
        <f>medição!A77</f>
        <v>11.3</v>
      </c>
      <c r="B643" s="438" t="str">
        <f>medição!B77</f>
        <v>REVESTIMENTO CERÂMICO PARA PISO COM PLACAS TIPO ESMALTADA PADRÃO POPULAR DE DIMENSÕES 35X35 CM APLICADA EM AMBIENTES DE ÁREA MAIOR QUE 10 M2. AF_06/2014</v>
      </c>
      <c r="C643" s="440"/>
    </row>
    <row r="644" spans="1:3" ht="13">
      <c r="A644" s="432"/>
      <c r="B644" s="345" t="s">
        <v>306</v>
      </c>
      <c r="C644" s="345" t="s">
        <v>779</v>
      </c>
    </row>
    <row r="645" spans="1:3" ht="13">
      <c r="A645" s="432"/>
      <c r="B645" s="528" t="s">
        <v>746</v>
      </c>
      <c r="C645" s="521"/>
    </row>
    <row r="646" spans="1:3" ht="13">
      <c r="A646" s="432"/>
      <c r="B646" s="354" t="s">
        <v>780</v>
      </c>
      <c r="C646" s="521">
        <v>4.50</v>
      </c>
    </row>
    <row r="647" spans="1:3" ht="13">
      <c r="A647" s="432"/>
      <c r="B647" s="354" t="s">
        <v>781</v>
      </c>
      <c r="C647" s="521">
        <v>9</v>
      </c>
    </row>
    <row r="648" spans="1:3" ht="13">
      <c r="A648" s="432"/>
      <c r="B648" s="354" t="s">
        <v>782</v>
      </c>
      <c r="C648" s="521">
        <v>7.56</v>
      </c>
    </row>
    <row r="649" spans="1:3" ht="13">
      <c r="A649" s="432"/>
      <c r="B649" s="354" t="s">
        <v>783</v>
      </c>
      <c r="C649" s="521">
        <v>3.60</v>
      </c>
    </row>
    <row r="650" spans="1:3" ht="13">
      <c r="A650" s="432"/>
      <c r="B650" s="354" t="s">
        <v>784</v>
      </c>
      <c r="C650" s="521">
        <v>3.06</v>
      </c>
    </row>
    <row r="651" spans="1:3" ht="13">
      <c r="A651" s="432"/>
      <c r="B651" s="354" t="s">
        <v>785</v>
      </c>
      <c r="C651" s="521">
        <v>3.45</v>
      </c>
    </row>
    <row r="652" spans="1:3" ht="13">
      <c r="A652" s="432"/>
      <c r="B652" s="354" t="s">
        <v>786</v>
      </c>
      <c r="C652" s="521">
        <v>3.45</v>
      </c>
    </row>
    <row r="653" spans="1:3" ht="13">
      <c r="A653" s="432"/>
      <c r="B653" s="354" t="s">
        <v>787</v>
      </c>
      <c r="C653" s="521">
        <v>20</v>
      </c>
    </row>
    <row r="654" spans="1:3" ht="13">
      <c r="A654" s="432"/>
      <c r="B654" s="354" t="s">
        <v>788</v>
      </c>
      <c r="C654" s="521">
        <v>11.80</v>
      </c>
    </row>
    <row r="655" spans="1:3" ht="13">
      <c r="A655" s="432"/>
      <c r="B655" s="354" t="s">
        <v>789</v>
      </c>
      <c r="C655" s="521">
        <v>18</v>
      </c>
    </row>
    <row r="656" spans="1:3" ht="13">
      <c r="A656" s="432"/>
      <c r="B656" s="354" t="s">
        <v>790</v>
      </c>
      <c r="C656" s="521">
        <v>4.80</v>
      </c>
    </row>
    <row r="657" spans="1:3" ht="13">
      <c r="A657" s="432"/>
      <c r="B657" s="354" t="s">
        <v>791</v>
      </c>
      <c r="C657" s="521">
        <v>3.20</v>
      </c>
    </row>
    <row r="658" spans="1:3" ht="13">
      <c r="A658" s="432"/>
      <c r="B658" s="354" t="s">
        <v>792</v>
      </c>
      <c r="C658" s="521">
        <v>3.20</v>
      </c>
    </row>
    <row r="659" spans="1:3" ht="13">
      <c r="A659" s="432"/>
      <c r="B659" s="354" t="s">
        <v>793</v>
      </c>
      <c r="C659" s="521">
        <v>3.26</v>
      </c>
    </row>
    <row r="660" spans="1:3" ht="13">
      <c r="A660" s="432"/>
      <c r="B660" s="354" t="s">
        <v>794</v>
      </c>
      <c r="C660" s="521">
        <v>3.26</v>
      </c>
    </row>
    <row r="661" spans="1:3" ht="13">
      <c r="A661" s="432"/>
      <c r="B661" s="354" t="s">
        <v>795</v>
      </c>
      <c r="C661" s="521">
        <v>5</v>
      </c>
    </row>
    <row r="662" spans="1:3" ht="13">
      <c r="A662" s="432"/>
      <c r="B662" s="354" t="s">
        <v>796</v>
      </c>
      <c r="C662" s="521">
        <v>9</v>
      </c>
    </row>
    <row r="663" spans="1:3" ht="13">
      <c r="A663" s="432"/>
      <c r="B663" s="354" t="s">
        <v>797</v>
      </c>
      <c r="C663" s="521">
        <v>3.38</v>
      </c>
    </row>
    <row r="664" spans="1:3" ht="13">
      <c r="A664" s="432"/>
      <c r="B664" s="354" t="s">
        <v>798</v>
      </c>
      <c r="C664" s="521">
        <v>10.82</v>
      </c>
    </row>
    <row r="665" spans="1:3" ht="13">
      <c r="A665" s="432"/>
      <c r="B665" s="354" t="s">
        <v>799</v>
      </c>
      <c r="C665" s="521">
        <v>24.08</v>
      </c>
    </row>
    <row r="666" spans="1:3" ht="13">
      <c r="A666" s="432"/>
      <c r="B666" s="354" t="s">
        <v>809</v>
      </c>
      <c r="C666" s="521">
        <v>14.20</v>
      </c>
    </row>
    <row r="667" spans="1:3" ht="13">
      <c r="A667" s="432"/>
      <c r="B667" s="354" t="s">
        <v>800</v>
      </c>
      <c r="C667" s="521">
        <v>9</v>
      </c>
    </row>
    <row r="668" spans="1:3" ht="13">
      <c r="A668" s="432"/>
      <c r="B668" s="354" t="s">
        <v>801</v>
      </c>
      <c r="C668" s="521">
        <v>9</v>
      </c>
    </row>
    <row r="669" spans="1:3" ht="13">
      <c r="A669" s="432"/>
      <c r="B669" s="354" t="s">
        <v>802</v>
      </c>
      <c r="C669" s="521">
        <v>9</v>
      </c>
    </row>
    <row r="670" spans="1:3" ht="13">
      <c r="A670" s="432"/>
      <c r="B670" s="354" t="s">
        <v>803</v>
      </c>
      <c r="C670" s="521">
        <v>9</v>
      </c>
    </row>
    <row r="671" spans="1:3" ht="13">
      <c r="A671" s="432"/>
      <c r="B671" s="354" t="s">
        <v>804</v>
      </c>
      <c r="C671" s="521">
        <v>6.40</v>
      </c>
    </row>
    <row r="672" spans="1:3" ht="13">
      <c r="A672" s="432"/>
      <c r="B672" s="354" t="s">
        <v>805</v>
      </c>
      <c r="C672" s="521">
        <v>23.48</v>
      </c>
    </row>
    <row r="673" spans="1:3" ht="13">
      <c r="A673" s="432"/>
      <c r="B673" s="354" t="s">
        <v>806</v>
      </c>
      <c r="C673" s="521">
        <v>7.50</v>
      </c>
    </row>
    <row r="674" spans="1:3" ht="13">
      <c r="A674" s="432"/>
      <c r="B674" s="354" t="s">
        <v>807</v>
      </c>
      <c r="C674" s="521">
        <v>7.50</v>
      </c>
    </row>
    <row r="675" spans="1:3" ht="13">
      <c r="A675" s="432"/>
      <c r="B675" s="354" t="s">
        <v>808</v>
      </c>
      <c r="C675" s="521">
        <v>16.170000000000002</v>
      </c>
    </row>
    <row r="676" spans="1:3" ht="13">
      <c r="A676" s="432"/>
      <c r="B676" s="354" t="s">
        <v>859</v>
      </c>
      <c r="C676" s="521">
        <v>26.47</v>
      </c>
    </row>
    <row r="677" spans="1:3" ht="13">
      <c r="A677" s="432"/>
      <c r="B677" s="567" t="s">
        <v>311</v>
      </c>
      <c r="C677" s="597">
        <f>SUM(C646:C676)</f>
        <v>292.14</v>
      </c>
    </row>
    <row r="679" spans="1:5" ht="13">
      <c r="A679" s="426" t="str">
        <f>medição!A78</f>
        <v>11.4</v>
      </c>
      <c r="B679" s="603" t="str">
        <f>medição!B78</f>
        <v>RODAPÉ CERÂMICO DE 7CM DE ALTURA COM PLACAS TIPO ESMALTADA EXTRA DE DIMENSÕES 35X35CM. AF_06/2014</v>
      </c>
      <c r="C679" s="604"/>
      <c r="D679" s="604"/>
      <c r="E679" s="605"/>
    </row>
    <row r="680" spans="1:5" ht="13">
      <c r="A680" s="459"/>
      <c r="B680" s="606" t="s">
        <v>306</v>
      </c>
      <c r="C680" s="422" t="s">
        <v>863</v>
      </c>
      <c r="D680" s="422" t="s">
        <v>835</v>
      </c>
      <c r="E680" s="422" t="s">
        <v>309</v>
      </c>
    </row>
    <row r="681" spans="1:5" ht="13">
      <c r="A681" s="459"/>
      <c r="B681" s="607" t="s">
        <v>746</v>
      </c>
      <c r="C681" s="422"/>
      <c r="D681" s="422"/>
      <c r="E681" s="422"/>
    </row>
    <row r="682" spans="1:5" ht="13">
      <c r="A682" s="459"/>
      <c r="B682" s="608" t="s">
        <v>784</v>
      </c>
      <c r="C682" s="609">
        <v>8.0399999999999991</v>
      </c>
      <c r="D682" s="609">
        <v>0.80</v>
      </c>
      <c r="E682" s="609">
        <f>C682-D682</f>
        <v>7.24</v>
      </c>
    </row>
    <row r="683" spans="1:5" ht="13">
      <c r="A683" s="459"/>
      <c r="B683" s="608" t="s">
        <v>785</v>
      </c>
      <c r="C683" s="609">
        <v>8.3000000000000007</v>
      </c>
      <c r="D683" s="609">
        <v>0.80</v>
      </c>
      <c r="E683" s="609">
        <f>C683-D683</f>
        <v>7.50</v>
      </c>
    </row>
    <row r="684" spans="1:5" ht="13">
      <c r="A684" s="459"/>
      <c r="B684" s="608" t="s">
        <v>786</v>
      </c>
      <c r="C684" s="609">
        <v>8.3000000000000007</v>
      </c>
      <c r="D684" s="609">
        <v>0.80</v>
      </c>
      <c r="E684" s="609">
        <f t="shared" si="36" ref="E684:E700">C684-D684</f>
        <v>7.50</v>
      </c>
    </row>
    <row r="685" spans="1:5" ht="13">
      <c r="A685" s="459"/>
      <c r="B685" s="608" t="s">
        <v>864</v>
      </c>
      <c r="C685" s="609">
        <v>19.40</v>
      </c>
      <c r="D685" s="609">
        <v>0.80</v>
      </c>
      <c r="E685" s="609">
        <f t="shared" si="36"/>
        <v>18.60</v>
      </c>
    </row>
    <row r="686" spans="1:5" ht="13">
      <c r="A686" s="459"/>
      <c r="B686" s="608" t="s">
        <v>788</v>
      </c>
      <c r="C686" s="609">
        <v>25</v>
      </c>
      <c r="D686" s="609">
        <f>0.8*9</f>
        <v>7.20</v>
      </c>
      <c r="E686" s="609">
        <f t="shared" si="36"/>
        <v>17.80</v>
      </c>
    </row>
    <row r="687" spans="1:5" ht="13">
      <c r="A687" s="459"/>
      <c r="B687" s="608" t="s">
        <v>865</v>
      </c>
      <c r="C687" s="609">
        <v>18</v>
      </c>
      <c r="D687" s="609">
        <v>0.80</v>
      </c>
      <c r="E687" s="609">
        <f t="shared" si="36"/>
        <v>17.20</v>
      </c>
    </row>
    <row r="688" spans="1:5" ht="13">
      <c r="A688" s="459"/>
      <c r="B688" s="608" t="s">
        <v>789</v>
      </c>
      <c r="C688" s="609">
        <v>17</v>
      </c>
      <c r="D688" s="609">
        <v>1.60</v>
      </c>
      <c r="E688" s="609">
        <f t="shared" si="36"/>
        <v>15.40</v>
      </c>
    </row>
    <row r="689" spans="1:5" ht="13">
      <c r="A689" s="459"/>
      <c r="B689" s="608" t="s">
        <v>795</v>
      </c>
      <c r="C689" s="609">
        <v>4</v>
      </c>
      <c r="D689" s="609">
        <v>0</v>
      </c>
      <c r="E689" s="609">
        <f t="shared" si="36"/>
        <v>4</v>
      </c>
    </row>
    <row r="690" spans="1:5" ht="13">
      <c r="A690" s="459"/>
      <c r="B690" s="608" t="s">
        <v>866</v>
      </c>
      <c r="C690" s="609">
        <v>12.50</v>
      </c>
      <c r="D690" s="609">
        <f>0.8+0.9</f>
        <v>1.70</v>
      </c>
      <c r="E690" s="609">
        <f t="shared" si="36"/>
        <v>10.80</v>
      </c>
    </row>
    <row r="691" spans="1:5" ht="13">
      <c r="A691" s="459"/>
      <c r="B691" s="608" t="s">
        <v>798</v>
      </c>
      <c r="C691" s="609">
        <v>15.33</v>
      </c>
      <c r="D691" s="609">
        <v>0.80</v>
      </c>
      <c r="E691" s="609">
        <f t="shared" si="36"/>
        <v>14.53</v>
      </c>
    </row>
    <row r="692" spans="1:5" ht="13">
      <c r="A692" s="459"/>
      <c r="B692" s="608" t="s">
        <v>867</v>
      </c>
      <c r="C692" s="609">
        <v>20.04</v>
      </c>
      <c r="D692" s="609">
        <v>0.80</v>
      </c>
      <c r="E692" s="609">
        <f t="shared" si="36"/>
        <v>19.239999999999998</v>
      </c>
    </row>
    <row r="693" spans="1:5" ht="13">
      <c r="A693" s="459"/>
      <c r="B693" s="608" t="s">
        <v>868</v>
      </c>
      <c r="C693" s="609">
        <v>12.04</v>
      </c>
      <c r="D693" s="609">
        <v>0.80</v>
      </c>
      <c r="E693" s="609">
        <f t="shared" si="36"/>
        <v>11.24</v>
      </c>
    </row>
    <row r="694" spans="1:5" ht="13">
      <c r="A694" s="459"/>
      <c r="B694" s="608" t="s">
        <v>869</v>
      </c>
      <c r="C694" s="609">
        <v>12.04</v>
      </c>
      <c r="D694" s="609">
        <v>0.80</v>
      </c>
      <c r="E694" s="609">
        <f t="shared" si="36"/>
        <v>11.24</v>
      </c>
    </row>
    <row r="695" spans="1:5" ht="13">
      <c r="A695" s="459"/>
      <c r="B695" s="608" t="s">
        <v>804</v>
      </c>
      <c r="C695" s="609">
        <v>10.42</v>
      </c>
      <c r="D695" s="609">
        <v>0.80</v>
      </c>
      <c r="E695" s="609">
        <f t="shared" si="36"/>
        <v>9.6199999999999992</v>
      </c>
    </row>
    <row r="696" spans="1:5" ht="13">
      <c r="A696" s="459"/>
      <c r="B696" s="608" t="s">
        <v>805</v>
      </c>
      <c r="C696" s="609">
        <v>12.56</v>
      </c>
      <c r="D696" s="609">
        <v>2</v>
      </c>
      <c r="E696" s="609">
        <f t="shared" si="36"/>
        <v>10.56</v>
      </c>
    </row>
    <row r="697" spans="1:5" ht="13">
      <c r="A697" s="459"/>
      <c r="B697" s="608" t="s">
        <v>806</v>
      </c>
      <c r="C697" s="609">
        <v>11.12</v>
      </c>
      <c r="D697" s="609">
        <v>0.80</v>
      </c>
      <c r="E697" s="609">
        <f t="shared" si="36"/>
        <v>10.32</v>
      </c>
    </row>
    <row r="698" spans="1:5" ht="13">
      <c r="A698" s="459"/>
      <c r="B698" s="608" t="s">
        <v>807</v>
      </c>
      <c r="C698" s="609">
        <v>11.12</v>
      </c>
      <c r="D698" s="609">
        <v>0.80</v>
      </c>
      <c r="E698" s="609">
        <f t="shared" si="36"/>
        <v>10.32</v>
      </c>
    </row>
    <row r="699" spans="1:5" ht="13">
      <c r="A699" s="459"/>
      <c r="B699" s="608" t="s">
        <v>809</v>
      </c>
      <c r="C699" s="609">
        <f>10.89+7.56</f>
        <v>18.45</v>
      </c>
      <c r="D699" s="609">
        <f>1.6+0.8+0.9+0.8+0.8</f>
        <v>4.9000000000000004</v>
      </c>
      <c r="E699" s="609">
        <f t="shared" si="36"/>
        <v>13.55</v>
      </c>
    </row>
    <row r="700" spans="1:5" ht="13">
      <c r="A700" s="459"/>
      <c r="B700" s="608" t="s">
        <v>859</v>
      </c>
      <c r="C700" s="609">
        <v>30.38</v>
      </c>
      <c r="D700" s="609">
        <f>(0.8*9)+0.9</f>
        <v>8.10</v>
      </c>
      <c r="E700" s="609">
        <f t="shared" si="36"/>
        <v>22.28</v>
      </c>
    </row>
    <row r="701" spans="1:5" ht="13">
      <c r="A701" s="459"/>
      <c r="B701" s="610"/>
      <c r="C701" s="447"/>
      <c r="D701" s="611" t="s">
        <v>311</v>
      </c>
      <c r="E701" s="611">
        <f>SUM(E682:E700)</f>
        <v>238.94</v>
      </c>
    </row>
    <row r="703" spans="1:3" ht="24.75" customHeight="1">
      <c r="A703" s="350" t="str">
        <f>medição!A79</f>
        <v>11.5</v>
      </c>
      <c r="B703" s="438" t="str">
        <f>medição!B79</f>
        <v xml:space="preserve">EXECUÇÃO DE PASSEIO (CALÇADA) OU PISO DE CONCRETO COM CONCRETO MOLDADO IN LOCO, FEITO EM OBRA, ACABAMENTO CONVENCIONAL, ESPESSURA 6 CM, ARMADO. AF_08/2022 </v>
      </c>
      <c r="C703" s="440"/>
    </row>
    <row r="704" spans="1:3" ht="13">
      <c r="A704" s="432"/>
      <c r="B704" s="345" t="s">
        <v>306</v>
      </c>
      <c r="C704" s="345" t="s">
        <v>779</v>
      </c>
    </row>
    <row r="705" spans="1:3" ht="13">
      <c r="A705" s="432"/>
      <c r="B705" s="528" t="s">
        <v>746</v>
      </c>
      <c r="C705" s="521"/>
    </row>
    <row r="706" spans="1:3" ht="13">
      <c r="A706" s="432"/>
      <c r="B706" s="354" t="s">
        <v>862</v>
      </c>
      <c r="C706" s="521">
        <v>181.63</v>
      </c>
    </row>
    <row r="707" spans="1:3" ht="13">
      <c r="A707" s="432"/>
      <c r="B707" s="354" t="s">
        <v>861</v>
      </c>
      <c r="C707" s="521">
        <v>26.43</v>
      </c>
    </row>
    <row r="708" spans="1:3" ht="13">
      <c r="A708" s="432"/>
      <c r="B708" s="354" t="s">
        <v>870</v>
      </c>
      <c r="C708" s="521">
        <v>122.74</v>
      </c>
    </row>
    <row r="709" spans="1:3" ht="13">
      <c r="A709" s="432"/>
      <c r="B709" s="354" t="s">
        <v>871</v>
      </c>
      <c r="C709" s="521">
        <v>26.08</v>
      </c>
    </row>
    <row r="710" spans="1:3" ht="13">
      <c r="A710" s="432"/>
      <c r="B710" s="567" t="s">
        <v>311</v>
      </c>
      <c r="C710" s="597">
        <f>SUM(C706:C709)</f>
        <v>356.88</v>
      </c>
    </row>
    <row r="712" spans="1:3" ht="24.75" customHeight="1">
      <c r="A712" s="350" t="str">
        <f>medição!A80</f>
        <v>11.7</v>
      </c>
      <c r="B712" s="438" t="str">
        <f>medição!B80</f>
        <v>GUIA (MEIO-FIO) E SARJETA CONJUGADOS DE CONCRETO, MOLDADA IN LOCO EM TRECHO RETO COM EXTRUSORA, 45CM BASE (15 CM BASE DA GUI + 30 CM BASE DA SARJETA) X22 CM ALTURA. AF_06/2016</v>
      </c>
      <c r="C712" s="440"/>
    </row>
    <row r="713" spans="1:3" ht="13">
      <c r="A713" s="432"/>
      <c r="B713" s="345" t="s">
        <v>306</v>
      </c>
      <c r="C713" s="422" t="s">
        <v>863</v>
      </c>
    </row>
    <row r="714" spans="1:3" ht="13">
      <c r="A714" s="432"/>
      <c r="B714" s="528" t="s">
        <v>746</v>
      </c>
      <c r="C714" s="422"/>
    </row>
    <row r="715" spans="1:3" ht="13">
      <c r="A715" s="432"/>
      <c r="B715" s="354" t="s">
        <v>872</v>
      </c>
      <c r="C715" s="609">
        <f>21.97+22.87</f>
        <v>44.84</v>
      </c>
    </row>
    <row r="716" spans="1:3" ht="13">
      <c r="A716" s="432"/>
      <c r="B716" s="567" t="s">
        <v>311</v>
      </c>
      <c r="C716" s="612">
        <f>C715</f>
        <v>44.84</v>
      </c>
    </row>
    <row r="717" spans="1:3" ht="13">
      <c r="A717" s="594"/>
      <c r="B717" s="595"/>
      <c r="C717" s="455"/>
    </row>
    <row r="718" spans="1:10" ht="13">
      <c r="A718" s="350" t="str">
        <f>medição!A82</f>
        <v>12.0</v>
      </c>
      <c r="B718" s="430" t="str">
        <f>medição!B82</f>
        <v>INSTALAÇÕES ELÉTRICAS</v>
      </c>
      <c r="C718" s="430"/>
      <c r="D718" s="430"/>
      <c r="E718" s="430"/>
      <c r="F718" s="430"/>
      <c r="G718" s="430"/>
      <c r="H718" s="430"/>
      <c r="I718" s="430"/>
      <c r="J718" s="430"/>
    </row>
    <row r="720" spans="1:3" ht="38.25" customHeight="1">
      <c r="A720" s="350" t="str">
        <f>medição!A83</f>
        <v>12.1</v>
      </c>
      <c r="B720" s="438" t="str">
        <f>medição!B83</f>
        <v>PONTO DE ILUMINAÇÃO RESIDENCIAL INCLUINDO, CAIXA ELÉTRICA, ELETRODUTO, CABO, RASGO, QUEBRA E CHUMBAMENTO (EXCLUINDO LUMINÁRIA, LÂMPADA E INTERRUPTOR). AF_01/2016</v>
      </c>
      <c r="C720" s="440"/>
    </row>
    <row r="721" spans="1:3" ht="13">
      <c r="A721" s="432"/>
      <c r="B721" s="345" t="s">
        <v>306</v>
      </c>
      <c r="C721" s="422" t="s">
        <v>745</v>
      </c>
    </row>
    <row r="722" spans="1:3" ht="13">
      <c r="A722" s="432"/>
      <c r="B722" s="528" t="s">
        <v>746</v>
      </c>
      <c r="C722" s="422"/>
    </row>
    <row r="723" spans="1:3" ht="13">
      <c r="A723" s="432"/>
      <c r="B723" s="354" t="s">
        <v>780</v>
      </c>
      <c r="C723" s="613">
        <v>1</v>
      </c>
    </row>
    <row r="724" spans="1:3" ht="13">
      <c r="A724" s="432"/>
      <c r="B724" s="354" t="s">
        <v>781</v>
      </c>
      <c r="C724" s="613">
        <v>1</v>
      </c>
    </row>
    <row r="725" spans="1:3" ht="13">
      <c r="A725" s="432"/>
      <c r="B725" s="354" t="s">
        <v>782</v>
      </c>
      <c r="C725" s="613">
        <v>2</v>
      </c>
    </row>
    <row r="726" spans="1:3" ht="13">
      <c r="A726" s="432"/>
      <c r="B726" s="354" t="s">
        <v>783</v>
      </c>
      <c r="C726" s="613">
        <v>1</v>
      </c>
    </row>
    <row r="727" spans="1:3" ht="13">
      <c r="A727" s="432"/>
      <c r="B727" s="354" t="s">
        <v>784</v>
      </c>
      <c r="C727" s="613">
        <v>1</v>
      </c>
    </row>
    <row r="728" spans="1:3" ht="13">
      <c r="A728" s="432"/>
      <c r="B728" s="354" t="s">
        <v>785</v>
      </c>
      <c r="C728" s="613">
        <v>1</v>
      </c>
    </row>
    <row r="729" spans="1:3" ht="13">
      <c r="A729" s="432"/>
      <c r="B729" s="354" t="s">
        <v>786</v>
      </c>
      <c r="C729" s="613">
        <v>1</v>
      </c>
    </row>
    <row r="730" spans="1:3" ht="13">
      <c r="A730" s="432"/>
      <c r="B730" s="354" t="s">
        <v>787</v>
      </c>
      <c r="C730" s="613">
        <v>3</v>
      </c>
    </row>
    <row r="731" spans="1:3" ht="13">
      <c r="A731" s="432"/>
      <c r="B731" s="354" t="s">
        <v>788</v>
      </c>
      <c r="C731" s="613">
        <v>4</v>
      </c>
    </row>
    <row r="732" spans="1:3" ht="13">
      <c r="A732" s="432"/>
      <c r="B732" s="354" t="s">
        <v>789</v>
      </c>
      <c r="C732" s="613">
        <v>2</v>
      </c>
    </row>
    <row r="733" spans="1:3" ht="13">
      <c r="A733" s="432"/>
      <c r="B733" s="354" t="s">
        <v>790</v>
      </c>
      <c r="C733" s="613">
        <v>1</v>
      </c>
    </row>
    <row r="734" spans="1:3" ht="13">
      <c r="A734" s="432"/>
      <c r="B734" s="354" t="s">
        <v>791</v>
      </c>
      <c r="C734" s="613">
        <v>1</v>
      </c>
    </row>
    <row r="735" spans="1:3" ht="13">
      <c r="A735" s="432"/>
      <c r="B735" s="354" t="s">
        <v>792</v>
      </c>
      <c r="C735" s="613">
        <v>1</v>
      </c>
    </row>
    <row r="736" spans="1:3" ht="13">
      <c r="A736" s="432"/>
      <c r="B736" s="354" t="s">
        <v>793</v>
      </c>
      <c r="C736" s="613">
        <v>1</v>
      </c>
    </row>
    <row r="737" spans="1:3" ht="13">
      <c r="A737" s="432"/>
      <c r="B737" s="354" t="s">
        <v>794</v>
      </c>
      <c r="C737" s="613">
        <v>1</v>
      </c>
    </row>
    <row r="738" spans="1:3" ht="13">
      <c r="A738" s="432"/>
      <c r="B738" s="354" t="s">
        <v>795</v>
      </c>
      <c r="C738" s="613">
        <v>1</v>
      </c>
    </row>
    <row r="739" spans="1:3" ht="13">
      <c r="A739" s="432"/>
      <c r="B739" s="354" t="s">
        <v>796</v>
      </c>
      <c r="C739" s="613">
        <v>1</v>
      </c>
    </row>
    <row r="740" spans="1:3" ht="13">
      <c r="A740" s="432"/>
      <c r="B740" s="354" t="s">
        <v>797</v>
      </c>
      <c r="C740" s="613">
        <v>1</v>
      </c>
    </row>
    <row r="741" spans="1:3" ht="13">
      <c r="A741" s="432"/>
      <c r="B741" s="354" t="s">
        <v>798</v>
      </c>
      <c r="C741" s="613">
        <v>2</v>
      </c>
    </row>
    <row r="742" spans="1:3" ht="13">
      <c r="A742" s="432"/>
      <c r="B742" s="354" t="s">
        <v>799</v>
      </c>
      <c r="C742" s="613">
        <v>2</v>
      </c>
    </row>
    <row r="743" spans="1:3" ht="13">
      <c r="A743" s="432"/>
      <c r="B743" s="354" t="s">
        <v>809</v>
      </c>
      <c r="C743" s="613">
        <v>2</v>
      </c>
    </row>
    <row r="744" spans="1:3" ht="13">
      <c r="A744" s="432"/>
      <c r="B744" s="354" t="s">
        <v>800</v>
      </c>
      <c r="C744" s="613">
        <v>1</v>
      </c>
    </row>
    <row r="745" spans="1:3" ht="13">
      <c r="A745" s="432"/>
      <c r="B745" s="354" t="s">
        <v>801</v>
      </c>
      <c r="C745" s="613">
        <v>1</v>
      </c>
    </row>
    <row r="746" spans="1:3" ht="13">
      <c r="A746" s="432"/>
      <c r="B746" s="354" t="s">
        <v>802</v>
      </c>
      <c r="C746" s="613">
        <v>1</v>
      </c>
    </row>
    <row r="747" spans="1:3" ht="13">
      <c r="A747" s="432"/>
      <c r="B747" s="354" t="s">
        <v>803</v>
      </c>
      <c r="C747" s="613">
        <v>1</v>
      </c>
    </row>
    <row r="748" spans="1:3" ht="13">
      <c r="A748" s="432"/>
      <c r="B748" s="354" t="s">
        <v>804</v>
      </c>
      <c r="C748" s="613">
        <v>1</v>
      </c>
    </row>
    <row r="749" spans="1:3" ht="13">
      <c r="A749" s="432"/>
      <c r="B749" s="354" t="s">
        <v>805</v>
      </c>
      <c r="C749" s="613">
        <v>2</v>
      </c>
    </row>
    <row r="750" spans="1:3" ht="13">
      <c r="A750" s="432"/>
      <c r="B750" s="354" t="s">
        <v>806</v>
      </c>
      <c r="C750" s="613">
        <v>1</v>
      </c>
    </row>
    <row r="751" spans="1:3" ht="13">
      <c r="A751" s="432"/>
      <c r="B751" s="354" t="s">
        <v>807</v>
      </c>
      <c r="C751" s="613">
        <v>1</v>
      </c>
    </row>
    <row r="752" spans="1:3" ht="13">
      <c r="A752" s="432"/>
      <c r="B752" s="354" t="s">
        <v>808</v>
      </c>
      <c r="C752" s="613">
        <v>2</v>
      </c>
    </row>
    <row r="753" spans="1:3" ht="13">
      <c r="A753" s="432"/>
      <c r="B753" s="354" t="s">
        <v>859</v>
      </c>
      <c r="C753" s="613">
        <v>3</v>
      </c>
    </row>
    <row r="754" spans="1:3" ht="13">
      <c r="A754" s="432"/>
      <c r="B754" s="354" t="s">
        <v>844</v>
      </c>
      <c r="C754" s="613">
        <v>11</v>
      </c>
    </row>
    <row r="755" spans="1:3" ht="13">
      <c r="A755" s="432"/>
      <c r="B755" s="567" t="s">
        <v>311</v>
      </c>
      <c r="C755" s="614">
        <f>C723+C724+C725+C726+C727+C728+C729+C730+C731+C732+C733+C734+C735+C736+C737+C738+C739+C740+C741+C742+C743+C744+C745+C746+C747+C748+C749+C750+C751+C752+C753+C754</f>
        <v>56</v>
      </c>
    </row>
    <row r="757" spans="1:3" ht="24.75" customHeight="1">
      <c r="A757" s="350" t="str">
        <f>medição!A84</f>
        <v>12.2</v>
      </c>
      <c r="B757" s="438" t="str">
        <f>medição!B84</f>
        <v>LUMINÁRIA TIPO CALHA DE SOBREPOR, COM 1 LÂMPADA TUBULAR FLUORESCENTE DE 20W, COM REATOR DE PARTIDA CONVENCIONAL - FORNECIMENTO E INSTALAÇÃO. AF_02/2022</v>
      </c>
      <c r="C757" s="440"/>
    </row>
    <row r="758" spans="1:3" ht="13">
      <c r="A758" s="432"/>
      <c r="B758" s="345" t="s">
        <v>306</v>
      </c>
      <c r="C758" s="422" t="s">
        <v>745</v>
      </c>
    </row>
    <row r="759" spans="1:3" ht="13">
      <c r="A759" s="432"/>
      <c r="B759" s="528" t="s">
        <v>746</v>
      </c>
      <c r="C759" s="422"/>
    </row>
    <row r="760" spans="1:3" ht="13">
      <c r="A760" s="432"/>
      <c r="B760" s="354" t="s">
        <v>780</v>
      </c>
      <c r="C760" s="613">
        <v>1</v>
      </c>
    </row>
    <row r="761" spans="1:3" ht="13">
      <c r="A761" s="432"/>
      <c r="B761" s="354" t="s">
        <v>781</v>
      </c>
      <c r="C761" s="613">
        <v>1</v>
      </c>
    </row>
    <row r="762" spans="1:3" ht="13">
      <c r="A762" s="432"/>
      <c r="B762" s="354" t="s">
        <v>782</v>
      </c>
      <c r="C762" s="613">
        <v>2</v>
      </c>
    </row>
    <row r="763" spans="1:3" ht="13">
      <c r="A763" s="432"/>
      <c r="B763" s="354" t="s">
        <v>783</v>
      </c>
      <c r="C763" s="613">
        <v>1</v>
      </c>
    </row>
    <row r="764" spans="1:3" ht="13">
      <c r="A764" s="432"/>
      <c r="B764" s="354" t="s">
        <v>784</v>
      </c>
      <c r="C764" s="613">
        <v>1</v>
      </c>
    </row>
    <row r="765" spans="1:3" ht="13">
      <c r="A765" s="432"/>
      <c r="B765" s="354" t="s">
        <v>785</v>
      </c>
      <c r="C765" s="613">
        <v>1</v>
      </c>
    </row>
    <row r="766" spans="1:3" ht="13">
      <c r="A766" s="432"/>
      <c r="B766" s="354" t="s">
        <v>786</v>
      </c>
      <c r="C766" s="613">
        <v>1</v>
      </c>
    </row>
    <row r="767" spans="1:3" ht="13">
      <c r="A767" s="432"/>
      <c r="B767" s="354" t="s">
        <v>787</v>
      </c>
      <c r="C767" s="613">
        <v>3</v>
      </c>
    </row>
    <row r="768" spans="1:3" ht="13">
      <c r="A768" s="432"/>
      <c r="B768" s="354" t="s">
        <v>788</v>
      </c>
      <c r="C768" s="613">
        <v>4</v>
      </c>
    </row>
    <row r="769" spans="1:3" ht="13">
      <c r="A769" s="432"/>
      <c r="B769" s="354" t="s">
        <v>789</v>
      </c>
      <c r="C769" s="613">
        <v>2</v>
      </c>
    </row>
    <row r="770" spans="1:3" ht="13">
      <c r="A770" s="432"/>
      <c r="B770" s="354" t="s">
        <v>790</v>
      </c>
      <c r="C770" s="613">
        <v>1</v>
      </c>
    </row>
    <row r="771" spans="1:3" ht="13">
      <c r="A771" s="432"/>
      <c r="B771" s="354" t="s">
        <v>791</v>
      </c>
      <c r="C771" s="613">
        <v>1</v>
      </c>
    </row>
    <row r="772" spans="1:3" ht="13">
      <c r="A772" s="432"/>
      <c r="B772" s="354" t="s">
        <v>792</v>
      </c>
      <c r="C772" s="613">
        <v>1</v>
      </c>
    </row>
    <row r="773" spans="1:3" ht="13">
      <c r="A773" s="432"/>
      <c r="B773" s="354" t="s">
        <v>793</v>
      </c>
      <c r="C773" s="613">
        <v>1</v>
      </c>
    </row>
    <row r="774" spans="1:3" ht="13">
      <c r="A774" s="432"/>
      <c r="B774" s="354" t="s">
        <v>794</v>
      </c>
      <c r="C774" s="613">
        <v>1</v>
      </c>
    </row>
    <row r="775" spans="1:3" ht="13">
      <c r="A775" s="432"/>
      <c r="B775" s="354" t="s">
        <v>795</v>
      </c>
      <c r="C775" s="613">
        <v>1</v>
      </c>
    </row>
    <row r="776" spans="1:3" ht="13">
      <c r="A776" s="432"/>
      <c r="B776" s="354" t="s">
        <v>796</v>
      </c>
      <c r="C776" s="613">
        <v>1</v>
      </c>
    </row>
    <row r="777" spans="1:3" ht="13">
      <c r="A777" s="432"/>
      <c r="B777" s="354" t="s">
        <v>797</v>
      </c>
      <c r="C777" s="613">
        <v>1</v>
      </c>
    </row>
    <row r="778" spans="1:3" ht="13">
      <c r="A778" s="432"/>
      <c r="B778" s="354" t="s">
        <v>798</v>
      </c>
      <c r="C778" s="613">
        <v>2</v>
      </c>
    </row>
    <row r="779" spans="1:3" ht="13">
      <c r="A779" s="432"/>
      <c r="B779" s="354" t="s">
        <v>799</v>
      </c>
      <c r="C779" s="613">
        <v>2</v>
      </c>
    </row>
    <row r="780" spans="1:3" ht="13">
      <c r="A780" s="432"/>
      <c r="B780" s="354" t="s">
        <v>809</v>
      </c>
      <c r="C780" s="613">
        <v>2</v>
      </c>
    </row>
    <row r="781" spans="1:3" ht="13">
      <c r="A781" s="432"/>
      <c r="B781" s="354" t="s">
        <v>800</v>
      </c>
      <c r="C781" s="613">
        <v>1</v>
      </c>
    </row>
    <row r="782" spans="1:3" ht="13">
      <c r="A782" s="432"/>
      <c r="B782" s="354" t="s">
        <v>801</v>
      </c>
      <c r="C782" s="613">
        <v>1</v>
      </c>
    </row>
    <row r="783" spans="1:3" ht="13">
      <c r="A783" s="432"/>
      <c r="B783" s="354" t="s">
        <v>802</v>
      </c>
      <c r="C783" s="613">
        <v>1</v>
      </c>
    </row>
    <row r="784" spans="1:3" ht="13">
      <c r="A784" s="432"/>
      <c r="B784" s="354" t="s">
        <v>803</v>
      </c>
      <c r="C784" s="613">
        <v>1</v>
      </c>
    </row>
    <row r="785" spans="1:3" ht="13">
      <c r="A785" s="432"/>
      <c r="B785" s="354" t="s">
        <v>804</v>
      </c>
      <c r="C785" s="613">
        <v>1</v>
      </c>
    </row>
    <row r="786" spans="1:3" ht="13">
      <c r="A786" s="432"/>
      <c r="B786" s="354" t="s">
        <v>805</v>
      </c>
      <c r="C786" s="613">
        <v>2</v>
      </c>
    </row>
    <row r="787" spans="1:3" ht="13">
      <c r="A787" s="432"/>
      <c r="B787" s="354" t="s">
        <v>806</v>
      </c>
      <c r="C787" s="613">
        <v>1</v>
      </c>
    </row>
    <row r="788" spans="1:3" ht="13">
      <c r="A788" s="432"/>
      <c r="B788" s="354" t="s">
        <v>807</v>
      </c>
      <c r="C788" s="613">
        <v>1</v>
      </c>
    </row>
    <row r="789" spans="1:3" ht="13">
      <c r="A789" s="432"/>
      <c r="B789" s="354" t="s">
        <v>808</v>
      </c>
      <c r="C789" s="613">
        <v>2</v>
      </c>
    </row>
    <row r="790" spans="1:3" ht="13">
      <c r="A790" s="432"/>
      <c r="B790" s="354" t="s">
        <v>859</v>
      </c>
      <c r="C790" s="613">
        <v>3</v>
      </c>
    </row>
    <row r="791" spans="1:3" ht="13">
      <c r="A791" s="432"/>
      <c r="B791" s="354" t="s">
        <v>844</v>
      </c>
      <c r="C791" s="613">
        <v>11</v>
      </c>
    </row>
    <row r="792" spans="1:3" ht="13">
      <c r="A792" s="432"/>
      <c r="B792" s="567" t="s">
        <v>311</v>
      </c>
      <c r="C792" s="614">
        <f>C760+C761+C762+C763+C764+C765+C766+C767+C768+C769+C770+C771+C772+C773+C774+C775+C776+C777+C778+C779+C780+C781+C782+C783+C784+C785+C786+C787+C788+C789+C790+C791</f>
        <v>56</v>
      </c>
    </row>
    <row r="794" spans="1:3" ht="24.75" customHeight="1">
      <c r="A794" s="350" t="str">
        <f>medição!A85</f>
        <v>12.3</v>
      </c>
      <c r="B794" s="438" t="str">
        <f>medição!B85</f>
        <v>INTERRUPTOR SIMPLES (1 MÓDULO) COM 1 TOMADA DE EMBUTIR 2P+T 10A, INCLUINDO SUPORTE E PLACA - FORNECIMENTO E INSTALAÇÃO. AF_12/2015</v>
      </c>
      <c r="C794" s="440"/>
    </row>
    <row r="795" spans="1:3" ht="13">
      <c r="A795" s="432"/>
      <c r="B795" s="345" t="s">
        <v>306</v>
      </c>
      <c r="C795" s="422" t="s">
        <v>745</v>
      </c>
    </row>
    <row r="796" spans="1:3" ht="13">
      <c r="A796" s="432"/>
      <c r="B796" s="528" t="s">
        <v>746</v>
      </c>
      <c r="C796" s="422"/>
    </row>
    <row r="797" spans="1:3" ht="13">
      <c r="A797" s="432"/>
      <c r="B797" s="354" t="s">
        <v>782</v>
      </c>
      <c r="C797" s="613">
        <v>1</v>
      </c>
    </row>
    <row r="798" spans="1:3" ht="13">
      <c r="A798" s="432"/>
      <c r="B798" s="354" t="s">
        <v>790</v>
      </c>
      <c r="C798" s="613">
        <v>1</v>
      </c>
    </row>
    <row r="799" spans="1:3" ht="13">
      <c r="A799" s="432"/>
      <c r="B799" s="354" t="s">
        <v>791</v>
      </c>
      <c r="C799" s="613">
        <v>1</v>
      </c>
    </row>
    <row r="800" spans="1:3" ht="13">
      <c r="A800" s="432"/>
      <c r="B800" s="354" t="s">
        <v>792</v>
      </c>
      <c r="C800" s="613">
        <v>1</v>
      </c>
    </row>
    <row r="801" spans="1:3" ht="13">
      <c r="A801" s="432"/>
      <c r="B801" s="354" t="s">
        <v>793</v>
      </c>
      <c r="C801" s="613">
        <v>1</v>
      </c>
    </row>
    <row r="802" spans="1:3" ht="13">
      <c r="A802" s="432"/>
      <c r="B802" s="354" t="s">
        <v>794</v>
      </c>
      <c r="C802" s="613">
        <v>1</v>
      </c>
    </row>
    <row r="803" spans="1:3" ht="13">
      <c r="A803" s="432"/>
      <c r="B803" s="354" t="s">
        <v>797</v>
      </c>
      <c r="C803" s="613">
        <v>1</v>
      </c>
    </row>
    <row r="804" spans="1:3" ht="13">
      <c r="A804" s="432"/>
      <c r="B804" s="354" t="s">
        <v>798</v>
      </c>
      <c r="C804" s="613">
        <v>2</v>
      </c>
    </row>
    <row r="805" spans="1:3" ht="13">
      <c r="A805" s="432"/>
      <c r="B805" s="354" t="s">
        <v>799</v>
      </c>
      <c r="C805" s="613">
        <v>2</v>
      </c>
    </row>
    <row r="806" spans="1:3" ht="13">
      <c r="A806" s="432"/>
      <c r="B806" s="567" t="s">
        <v>311</v>
      </c>
      <c r="C806" s="614">
        <f>C797+C798+C799+C800+C801+C802+C803+C804+C805</f>
        <v>11</v>
      </c>
    </row>
    <row r="808" spans="1:3" ht="27" customHeight="1">
      <c r="A808" s="350" t="str">
        <f>medição!A86</f>
        <v>12.4</v>
      </c>
      <c r="B808" s="438" t="str">
        <f>medição!B86</f>
        <v>INTERRUPTOR SIMPLES (1 MÓDULO), 10A/250V, INCLUINDO SUPORTE E PLACA - FORNECIMENTO E INSTALAÇÃO. AF_12/2015</v>
      </c>
      <c r="C808" s="440"/>
    </row>
    <row r="809" spans="1:3" ht="13">
      <c r="A809" s="432"/>
      <c r="B809" s="345" t="s">
        <v>306</v>
      </c>
      <c r="C809" s="485" t="s">
        <v>745</v>
      </c>
    </row>
    <row r="810" spans="1:3" ht="13">
      <c r="A810" s="432"/>
      <c r="B810" s="528" t="s">
        <v>746</v>
      </c>
      <c r="C810" s="485"/>
    </row>
    <row r="811" spans="1:4" ht="13">
      <c r="A811" s="432"/>
      <c r="B811" s="354" t="s">
        <v>780</v>
      </c>
      <c r="C811" s="615">
        <v>1</v>
      </c>
      <c r="D811" s="474"/>
    </row>
    <row r="812" spans="1:4" ht="13">
      <c r="A812" s="432"/>
      <c r="B812" s="354" t="s">
        <v>781</v>
      </c>
      <c r="C812" s="615">
        <v>1</v>
      </c>
      <c r="D812" s="474"/>
    </row>
    <row r="813" spans="1:4" ht="13">
      <c r="A813" s="432"/>
      <c r="B813" s="354" t="s">
        <v>783</v>
      </c>
      <c r="C813" s="615">
        <v>1</v>
      </c>
      <c r="D813" s="474"/>
    </row>
    <row r="814" spans="1:4" ht="13">
      <c r="A814" s="432"/>
      <c r="B814" s="354" t="s">
        <v>784</v>
      </c>
      <c r="C814" s="615">
        <v>1</v>
      </c>
      <c r="D814" s="474"/>
    </row>
    <row r="815" spans="1:4" ht="13">
      <c r="A815" s="432"/>
      <c r="B815" s="354" t="s">
        <v>785</v>
      </c>
      <c r="C815" s="615">
        <v>1</v>
      </c>
      <c r="D815" s="474"/>
    </row>
    <row r="816" spans="1:4" ht="13">
      <c r="A816" s="432"/>
      <c r="B816" s="354" t="s">
        <v>786</v>
      </c>
      <c r="C816" s="615">
        <v>1</v>
      </c>
      <c r="D816" s="474"/>
    </row>
    <row r="817" spans="1:4" ht="13">
      <c r="A817" s="432"/>
      <c r="B817" s="354" t="s">
        <v>789</v>
      </c>
      <c r="C817" s="615">
        <v>1</v>
      </c>
      <c r="D817" s="474"/>
    </row>
    <row r="818" spans="1:4" ht="13">
      <c r="A818" s="432"/>
      <c r="B818" s="354" t="s">
        <v>796</v>
      </c>
      <c r="C818" s="615">
        <v>1</v>
      </c>
      <c r="D818" s="474"/>
    </row>
    <row r="819" spans="1:4" ht="13">
      <c r="A819" s="432"/>
      <c r="B819" s="354" t="s">
        <v>800</v>
      </c>
      <c r="C819" s="615">
        <v>1</v>
      </c>
      <c r="D819" s="474"/>
    </row>
    <row r="820" spans="1:4" ht="13">
      <c r="A820" s="432"/>
      <c r="B820" s="354" t="s">
        <v>801</v>
      </c>
      <c r="C820" s="615">
        <v>1</v>
      </c>
      <c r="D820" s="474"/>
    </row>
    <row r="821" spans="1:4" ht="13">
      <c r="A821" s="432"/>
      <c r="B821" s="354" t="s">
        <v>802</v>
      </c>
      <c r="C821" s="615">
        <v>1</v>
      </c>
      <c r="D821" s="474"/>
    </row>
    <row r="822" spans="1:4" ht="13">
      <c r="A822" s="432"/>
      <c r="B822" s="354" t="s">
        <v>803</v>
      </c>
      <c r="C822" s="615">
        <v>1</v>
      </c>
      <c r="D822" s="474"/>
    </row>
    <row r="823" spans="1:4" ht="13">
      <c r="A823" s="432"/>
      <c r="B823" s="354" t="s">
        <v>804</v>
      </c>
      <c r="C823" s="615">
        <v>1</v>
      </c>
      <c r="D823" s="474"/>
    </row>
    <row r="824" spans="1:4" ht="13">
      <c r="A824" s="432"/>
      <c r="B824" s="354" t="s">
        <v>806</v>
      </c>
      <c r="C824" s="615">
        <v>1</v>
      </c>
      <c r="D824" s="474"/>
    </row>
    <row r="825" spans="1:4" ht="13">
      <c r="A825" s="432"/>
      <c r="B825" s="354" t="s">
        <v>807</v>
      </c>
      <c r="C825" s="615">
        <v>1</v>
      </c>
      <c r="D825" s="474"/>
    </row>
    <row r="826" spans="1:4" ht="13">
      <c r="A826" s="432"/>
      <c r="B826" s="354" t="s">
        <v>808</v>
      </c>
      <c r="C826" s="615">
        <v>1</v>
      </c>
      <c r="D826" s="474"/>
    </row>
    <row r="827" spans="1:3" ht="13">
      <c r="A827" s="432"/>
      <c r="B827" s="567" t="s">
        <v>311</v>
      </c>
      <c r="C827" s="614">
        <f>SUM(C811:C826)</f>
        <v>16</v>
      </c>
    </row>
    <row r="829" spans="1:3" ht="24.75" customHeight="1">
      <c r="A829" s="350" t="str">
        <f>medição!A87</f>
        <v>12.5</v>
      </c>
      <c r="B829" s="438" t="str">
        <f>medição!B87</f>
        <v>INTERRUPTOR SIMPLES (2 MÓDULOS) 10A/250V, INCLUINDO SUPORTE E PLACA - FORNECIMENTO E INSTALAÇÃO. AF_12/2015</v>
      </c>
      <c r="C829" s="440"/>
    </row>
    <row r="830" spans="1:3" ht="13">
      <c r="A830" s="432"/>
      <c r="B830" s="345" t="s">
        <v>306</v>
      </c>
      <c r="C830" s="485" t="s">
        <v>745</v>
      </c>
    </row>
    <row r="831" spans="1:3" ht="13">
      <c r="A831" s="432"/>
      <c r="B831" s="528" t="s">
        <v>746</v>
      </c>
      <c r="C831" s="485"/>
    </row>
    <row r="832" spans="1:3" ht="13">
      <c r="A832" s="432"/>
      <c r="B832" s="354" t="s">
        <v>873</v>
      </c>
      <c r="C832" s="615">
        <v>5</v>
      </c>
    </row>
    <row r="833" spans="1:3" ht="13">
      <c r="A833" s="432"/>
      <c r="B833" s="567" t="s">
        <v>311</v>
      </c>
      <c r="C833" s="614">
        <f>SUM(C832:C832)</f>
        <v>5</v>
      </c>
    </row>
    <row r="835" spans="1:3" ht="24.75" customHeight="1">
      <c r="A835" s="350" t="str">
        <f>medição!A88</f>
        <v>12.6</v>
      </c>
      <c r="B835" s="438" t="str">
        <f>medição!B88</f>
        <v>INTERRUPTOR SIMPLES (3 MÓDULOS) 10A/250V, INCLUINDO SUPORTE E PLACA - FORNECIMENTO E INSTALAÇÃO. AF_12/2015</v>
      </c>
      <c r="C835" s="440"/>
    </row>
    <row r="836" spans="1:3" ht="13">
      <c r="A836" s="432"/>
      <c r="B836" s="345" t="s">
        <v>306</v>
      </c>
      <c r="C836" s="485" t="s">
        <v>745</v>
      </c>
    </row>
    <row r="837" spans="1:3" ht="13">
      <c r="A837" s="432"/>
      <c r="B837" s="528" t="s">
        <v>746</v>
      </c>
      <c r="C837" s="485"/>
    </row>
    <row r="838" spans="1:3" ht="13">
      <c r="A838" s="432"/>
      <c r="B838" s="354" t="s">
        <v>787</v>
      </c>
      <c r="C838" s="615">
        <v>1</v>
      </c>
    </row>
    <row r="839" spans="1:3" ht="13">
      <c r="A839" s="432"/>
      <c r="B839" s="354" t="s">
        <v>805</v>
      </c>
      <c r="C839" s="613">
        <v>1</v>
      </c>
    </row>
    <row r="840" spans="1:3" ht="13">
      <c r="A840" s="432"/>
      <c r="B840" s="567" t="s">
        <v>311</v>
      </c>
      <c r="C840" s="614">
        <f>SUM(C838:C839)</f>
        <v>2</v>
      </c>
    </row>
    <row r="842" spans="1:3" ht="24.75" customHeight="1">
      <c r="A842" s="350" t="str">
        <f>medição!A89</f>
        <v>12.7</v>
      </c>
      <c r="B842" s="438" t="str">
        <f>medição!B89</f>
        <v>TOMADA MÉDIA DE EMBUTIR (1 MÓDULO), 2P+T 10A, INCLUINDO SUPORTE E PLACA - FORNECIMENTO E INSTALAÇÃO. AF_12/2015</v>
      </c>
      <c r="C842" s="440"/>
    </row>
    <row r="843" spans="1:3" ht="13">
      <c r="A843" s="350"/>
      <c r="B843" s="345" t="s">
        <v>306</v>
      </c>
      <c r="C843" s="485" t="s">
        <v>745</v>
      </c>
    </row>
    <row r="844" spans="1:3" ht="13">
      <c r="A844" s="432"/>
      <c r="B844" s="528" t="s">
        <v>746</v>
      </c>
      <c r="C844" s="485"/>
    </row>
    <row r="845" spans="1:3" ht="13">
      <c r="A845" s="432"/>
      <c r="B845" s="354" t="s">
        <v>874</v>
      </c>
      <c r="C845" s="615">
        <v>11</v>
      </c>
    </row>
    <row r="846" spans="1:3" ht="13">
      <c r="A846" s="432"/>
      <c r="B846" s="567" t="s">
        <v>311</v>
      </c>
      <c r="C846" s="614">
        <f>SUM(C845:C845)</f>
        <v>11</v>
      </c>
    </row>
    <row r="848" spans="1:5" ht="24.75" customHeight="1">
      <c r="A848" s="350" t="str">
        <f>medição!A90</f>
        <v>12.8</v>
      </c>
      <c r="B848" s="438" t="str">
        <f>medição!B90</f>
        <v>TOMADA BAIXA DE EMBUTIR (1 MÓDULO), 2P+T 10A, INCLUINDO SUPORTE E PLACA - FORNECIMENTO E INSTALAÇÃO. AF_12/2015</v>
      </c>
      <c r="C848" s="440"/>
      <c r="E848" s="484"/>
    </row>
    <row r="849" spans="1:3" ht="13">
      <c r="A849" s="350"/>
      <c r="B849" s="345" t="s">
        <v>306</v>
      </c>
      <c r="C849" s="485" t="s">
        <v>745</v>
      </c>
    </row>
    <row r="850" spans="1:3" ht="13">
      <c r="A850" s="432"/>
      <c r="B850" s="528" t="s">
        <v>746</v>
      </c>
      <c r="C850" s="485"/>
    </row>
    <row r="851" spans="1:3" ht="13">
      <c r="A851" s="432"/>
      <c r="B851" s="354" t="s">
        <v>874</v>
      </c>
      <c r="C851" s="615">
        <v>36</v>
      </c>
    </row>
    <row r="852" spans="1:3" ht="13">
      <c r="A852" s="432"/>
      <c r="B852" s="567" t="s">
        <v>311</v>
      </c>
      <c r="C852" s="614">
        <f>SUM(C851:C851)</f>
        <v>36</v>
      </c>
    </row>
    <row r="853" spans="1:3" ht="13">
      <c r="A853" s="594"/>
      <c r="B853" s="595"/>
      <c r="C853" s="616"/>
    </row>
    <row r="854" spans="1:3" ht="26.25" customHeight="1">
      <c r="A854" s="350" t="str">
        <f>medição!A91</f>
        <v>12.9</v>
      </c>
      <c r="B854" s="438" t="str">
        <f>medição!B91</f>
        <v xml:space="preserve"> TOMADA ALTA DE EMBUTIR (1 MÓDULO), 2P+T 10 A, INCLUINDO SUPORTE E PLACA - FORNECIMENTO E INSTALAÇÃO. AF_12/2015</v>
      </c>
      <c r="C854" s="440"/>
    </row>
    <row r="855" spans="1:3" ht="13">
      <c r="A855" s="350"/>
      <c r="B855" s="345" t="s">
        <v>306</v>
      </c>
      <c r="C855" s="485" t="s">
        <v>745</v>
      </c>
    </row>
    <row r="856" spans="1:3" ht="13">
      <c r="A856" s="432"/>
      <c r="B856" s="528" t="s">
        <v>746</v>
      </c>
      <c r="C856" s="485"/>
    </row>
    <row r="857" spans="1:3" ht="13">
      <c r="A857" s="432"/>
      <c r="B857" s="354" t="s">
        <v>874</v>
      </c>
      <c r="C857" s="615">
        <v>8</v>
      </c>
    </row>
    <row r="858" spans="1:3" ht="13">
      <c r="A858" s="432"/>
      <c r="B858" s="567" t="s">
        <v>311</v>
      </c>
      <c r="C858" s="614">
        <f>SUM(C857:C857)</f>
        <v>8</v>
      </c>
    </row>
    <row r="859" spans="1:3" ht="13">
      <c r="A859" s="594"/>
      <c r="B859" s="595"/>
      <c r="C859" s="616"/>
    </row>
    <row r="860" spans="1:3" ht="13">
      <c r="A860" s="350" t="str">
        <f>medição!A92</f>
        <v>12.10</v>
      </c>
      <c r="B860" s="438" t="str">
        <f>medição!B92</f>
        <v>Tomada de piso 3P+T - 4"x2"</v>
      </c>
      <c r="C860" s="440"/>
    </row>
    <row r="861" spans="1:3" ht="13">
      <c r="A861" s="350"/>
      <c r="B861" s="345" t="s">
        <v>306</v>
      </c>
      <c r="C861" s="485" t="s">
        <v>745</v>
      </c>
    </row>
    <row r="862" spans="1:3" ht="13">
      <c r="A862" s="432"/>
      <c r="B862" s="528" t="s">
        <v>746</v>
      </c>
      <c r="C862" s="485"/>
    </row>
    <row r="863" spans="1:3" ht="13">
      <c r="A863" s="432"/>
      <c r="B863" s="354" t="s">
        <v>874</v>
      </c>
      <c r="C863" s="615">
        <v>1</v>
      </c>
    </row>
    <row r="864" spans="1:3" ht="13">
      <c r="A864" s="432"/>
      <c r="B864" s="567" t="s">
        <v>311</v>
      </c>
      <c r="C864" s="614">
        <f>SUM(C863:C863)</f>
        <v>1</v>
      </c>
    </row>
    <row r="866" spans="1:3" ht="13">
      <c r="A866" s="350" t="str">
        <f>medição!A93</f>
        <v>12.11</v>
      </c>
      <c r="B866" s="438" t="str">
        <f>medição!B93</f>
        <v>Ponto p/ar condicionado(tubul.,cj.airstop e fiaçao)</v>
      </c>
      <c r="C866" s="440"/>
    </row>
    <row r="867" spans="1:3" ht="13">
      <c r="A867" s="350"/>
      <c r="B867" s="345" t="s">
        <v>306</v>
      </c>
      <c r="C867" s="485" t="s">
        <v>745</v>
      </c>
    </row>
    <row r="868" spans="1:3" ht="13">
      <c r="A868" s="432"/>
      <c r="B868" s="528" t="s">
        <v>746</v>
      </c>
      <c r="C868" s="485"/>
    </row>
    <row r="869" spans="1:3" ht="13">
      <c r="A869" s="432"/>
      <c r="B869" s="354" t="s">
        <v>874</v>
      </c>
      <c r="C869" s="615">
        <v>12</v>
      </c>
    </row>
    <row r="870" spans="1:3" ht="13">
      <c r="A870" s="432"/>
      <c r="B870" s="567" t="s">
        <v>311</v>
      </c>
      <c r="C870" s="614">
        <f>SUM(C869:C869)</f>
        <v>12</v>
      </c>
    </row>
    <row r="872" spans="1:3" ht="13">
      <c r="A872" s="350" t="str">
        <f>medição!A94</f>
        <v>12.12</v>
      </c>
      <c r="B872" s="438" t="str">
        <f>medição!B94</f>
        <v>Ponto de dreno p/ split (10m)</v>
      </c>
      <c r="C872" s="440"/>
    </row>
    <row r="873" spans="1:3" ht="13">
      <c r="A873" s="350"/>
      <c r="B873" s="345" t="s">
        <v>306</v>
      </c>
      <c r="C873" s="485" t="s">
        <v>745</v>
      </c>
    </row>
    <row r="874" spans="1:3" ht="13">
      <c r="A874" s="432"/>
      <c r="B874" s="528" t="s">
        <v>746</v>
      </c>
      <c r="C874" s="485"/>
    </row>
    <row r="875" spans="1:3" ht="13">
      <c r="A875" s="432"/>
      <c r="B875" s="354" t="s">
        <v>874</v>
      </c>
      <c r="C875" s="615">
        <v>12</v>
      </c>
    </row>
    <row r="876" spans="1:3" ht="13">
      <c r="A876" s="432"/>
      <c r="B876" s="567" t="s">
        <v>311</v>
      </c>
      <c r="C876" s="614">
        <f>SUM(C875:C875)</f>
        <v>12</v>
      </c>
    </row>
    <row r="878" spans="1:3" ht="13">
      <c r="A878" s="350" t="str">
        <f>medição!A95</f>
        <v>12.13</v>
      </c>
      <c r="B878" s="438" t="str">
        <f>medição!B95</f>
        <v>DISJUNTOR MONOPOLAR TIPO DIN, CORRENTE NOMINAL DE 16A - FORNECIMENTO E INSTALAÇÃO. AF_10/2020</v>
      </c>
      <c r="C878" s="440"/>
    </row>
    <row r="879" spans="1:3" ht="13">
      <c r="A879" s="350"/>
      <c r="B879" s="345" t="s">
        <v>306</v>
      </c>
      <c r="C879" s="485" t="s">
        <v>745</v>
      </c>
    </row>
    <row r="880" spans="1:3" ht="13">
      <c r="A880" s="432"/>
      <c r="B880" s="528" t="s">
        <v>746</v>
      </c>
      <c r="C880" s="485"/>
    </row>
    <row r="881" spans="1:3" ht="13">
      <c r="A881" s="432"/>
      <c r="B881" s="354" t="s">
        <v>874</v>
      </c>
      <c r="C881" s="615">
        <v>1</v>
      </c>
    </row>
    <row r="882" spans="1:3" ht="13">
      <c r="A882" s="432"/>
      <c r="B882" s="567" t="s">
        <v>311</v>
      </c>
      <c r="C882" s="614">
        <f>SUM(C881:C881)</f>
        <v>1</v>
      </c>
    </row>
    <row r="884" spans="1:3" ht="24" customHeight="1">
      <c r="A884" s="350" t="str">
        <f>medição!A96</f>
        <v>12.14</v>
      </c>
      <c r="B884" s="438" t="str">
        <f>medição!B96</f>
        <v xml:space="preserve"> DISJUNTOR MONOPOLAR TIPO DIN, CORRENTE NOMINAL DE 25A - FORNECIMENTO E INSTALAÇÃO. AF_10/2020</v>
      </c>
      <c r="C884" s="440"/>
    </row>
    <row r="885" spans="1:3" ht="13">
      <c r="A885" s="350"/>
      <c r="B885" s="345" t="s">
        <v>306</v>
      </c>
      <c r="C885" s="485" t="s">
        <v>745</v>
      </c>
    </row>
    <row r="886" spans="1:3" ht="13">
      <c r="A886" s="432"/>
      <c r="B886" s="528" t="s">
        <v>746</v>
      </c>
      <c r="C886" s="485"/>
    </row>
    <row r="887" spans="1:3" ht="13">
      <c r="A887" s="432"/>
      <c r="B887" s="354" t="s">
        <v>874</v>
      </c>
      <c r="C887" s="615">
        <v>3</v>
      </c>
    </row>
    <row r="888" spans="1:3" ht="13">
      <c r="A888" s="432"/>
      <c r="B888" s="567" t="s">
        <v>311</v>
      </c>
      <c r="C888" s="614">
        <f>SUM(C887:C887)</f>
        <v>3</v>
      </c>
    </row>
    <row r="890" spans="1:3" ht="24.75" customHeight="1">
      <c r="A890" s="350" t="str">
        <f>medição!A97</f>
        <v>12.15</v>
      </c>
      <c r="B890" s="438" t="str">
        <f>medição!B97</f>
        <v>DISJUNTOR BIPOLAR TIPO DIN, CORRENTE NOMINAL DE 25A - FORNECIMENTO E INSTALAÇÃO. AF_10/2020</v>
      </c>
      <c r="C890" s="440"/>
    </row>
    <row r="891" spans="1:3" ht="13">
      <c r="A891" s="350"/>
      <c r="B891" s="345" t="s">
        <v>306</v>
      </c>
      <c r="C891" s="485" t="s">
        <v>745</v>
      </c>
    </row>
    <row r="892" spans="1:3" ht="13">
      <c r="A892" s="432"/>
      <c r="B892" s="528" t="s">
        <v>746</v>
      </c>
      <c r="C892" s="485"/>
    </row>
    <row r="893" spans="1:3" ht="13">
      <c r="A893" s="432"/>
      <c r="B893" s="354" t="s">
        <v>874</v>
      </c>
      <c r="C893" s="615">
        <v>12</v>
      </c>
    </row>
    <row r="894" spans="1:3" ht="13">
      <c r="A894" s="432"/>
      <c r="B894" s="567" t="s">
        <v>311</v>
      </c>
      <c r="C894" s="614">
        <f>SUM(C893:C893)</f>
        <v>12</v>
      </c>
    </row>
    <row r="896" spans="1:3" ht="13">
      <c r="A896" s="350" t="str">
        <f>medição!A98</f>
        <v>12.16</v>
      </c>
      <c r="B896" s="438" t="str">
        <f>medição!B98</f>
        <v>Disjuntor 3P - 63 a 100A - PADRÃO DIN</v>
      </c>
      <c r="C896" s="440"/>
    </row>
    <row r="897" spans="1:3" ht="13">
      <c r="A897" s="350"/>
      <c r="B897" s="345" t="s">
        <v>306</v>
      </c>
      <c r="C897" s="485" t="s">
        <v>745</v>
      </c>
    </row>
    <row r="898" spans="1:3" ht="13">
      <c r="A898" s="432"/>
      <c r="B898" s="528" t="s">
        <v>746</v>
      </c>
      <c r="C898" s="485"/>
    </row>
    <row r="899" spans="1:3" ht="13">
      <c r="A899" s="432"/>
      <c r="B899" s="354" t="s">
        <v>874</v>
      </c>
      <c r="C899" s="615">
        <v>1</v>
      </c>
    </row>
    <row r="900" spans="1:3" ht="13">
      <c r="A900" s="432"/>
      <c r="B900" s="567" t="s">
        <v>311</v>
      </c>
      <c r="C900" s="614">
        <f>SUM(C899:C899)</f>
        <v>1</v>
      </c>
    </row>
    <row r="902" spans="1:3" ht="36.75" customHeight="1">
      <c r="A902" s="350" t="str">
        <f>medição!A99</f>
        <v>12.17</v>
      </c>
      <c r="B902" s="438" t="str">
        <f>medição!B99</f>
        <v>QUADRO DE DISTRIBUIÇÃO DE ENERGIA EM CHAPA DE AÇO GALVANIZADO, DE EMBUTIR, COM BARRAMENTO TRIFÁSICO, PARA 40 DISJUNTORES DIN 100A - FORNECIMENTO E INSTALAÇÃO. AF_10/2020</v>
      </c>
      <c r="C902" s="440"/>
    </row>
    <row r="903" spans="1:3" ht="13">
      <c r="A903" s="350"/>
      <c r="B903" s="345" t="s">
        <v>306</v>
      </c>
      <c r="C903" s="485" t="s">
        <v>745</v>
      </c>
    </row>
    <row r="904" spans="1:3" ht="13">
      <c r="A904" s="432"/>
      <c r="B904" s="528" t="s">
        <v>746</v>
      </c>
      <c r="C904" s="485"/>
    </row>
    <row r="905" spans="1:3" ht="13">
      <c r="A905" s="432"/>
      <c r="B905" s="354" t="s">
        <v>874</v>
      </c>
      <c r="C905" s="615">
        <v>1</v>
      </c>
    </row>
    <row r="906" spans="1:3" ht="13">
      <c r="A906" s="432"/>
      <c r="B906" s="567" t="s">
        <v>311</v>
      </c>
      <c r="C906" s="614">
        <f>SUM(C905:C905)</f>
        <v>1</v>
      </c>
    </row>
    <row r="908" spans="1:3" ht="26.25" customHeight="1">
      <c r="A908" s="350" t="str">
        <f>medição!A100</f>
        <v>12.18</v>
      </c>
      <c r="B908" s="438" t="str">
        <f>medição!B100</f>
        <v>CABO DE COBRRE FLEXÍVEL ISOLADO, 2,5 MM², ANTI-CHAMA 450/750KV, PARA CIRCUITOS TERMINAIS - FORNECIMENTO E INSTALAÇÃO. AF_12/2015</v>
      </c>
      <c r="C908" s="440"/>
    </row>
    <row r="909" spans="1:3" ht="13">
      <c r="A909" s="350"/>
      <c r="B909" s="345" t="s">
        <v>306</v>
      </c>
      <c r="C909" s="485" t="s">
        <v>833</v>
      </c>
    </row>
    <row r="910" spans="1:3" ht="13">
      <c r="A910" s="432"/>
      <c r="B910" s="528" t="s">
        <v>746</v>
      </c>
      <c r="C910" s="485"/>
    </row>
    <row r="911" spans="1:3" ht="13">
      <c r="A911" s="432"/>
      <c r="B911" s="354" t="s">
        <v>874</v>
      </c>
      <c r="C911" s="617">
        <f>203+(1.3*16)</f>
        <v>223.80</v>
      </c>
    </row>
    <row r="912" spans="1:3" ht="13">
      <c r="A912" s="432"/>
      <c r="B912" s="567" t="s">
        <v>311</v>
      </c>
      <c r="C912" s="612">
        <f>SUM(C911:C911)</f>
        <v>223.80</v>
      </c>
    </row>
    <row r="914" spans="1:3" ht="24.75" customHeight="1">
      <c r="A914" s="350" t="str">
        <f>medição!A101</f>
        <v>12.19</v>
      </c>
      <c r="B914" s="438" t="str">
        <f>medição!B101</f>
        <v>CABO DE COBRRE FLEXÍVEL ISOLADO, 4 MM², ANTI-CHAMA 450/750KV, PARA CIRCUITOS TERMINAIS - FORNECIMENTO E INSTALAÇÃO. AF_12/2015</v>
      </c>
      <c r="C914" s="440"/>
    </row>
    <row r="915" spans="1:3" ht="13">
      <c r="A915" s="350"/>
      <c r="B915" s="345" t="s">
        <v>306</v>
      </c>
      <c r="C915" s="485" t="s">
        <v>833</v>
      </c>
    </row>
    <row r="916" spans="1:3" ht="13">
      <c r="A916" s="432"/>
      <c r="B916" s="528" t="s">
        <v>746</v>
      </c>
      <c r="C916" s="485"/>
    </row>
    <row r="917" spans="1:3" ht="13">
      <c r="A917" s="432"/>
      <c r="B917" s="354" t="s">
        <v>874</v>
      </c>
      <c r="C917" s="617">
        <f>203+(1.3*16)</f>
        <v>223.80</v>
      </c>
    </row>
    <row r="918" spans="1:3" ht="13">
      <c r="A918" s="432"/>
      <c r="B918" s="567" t="s">
        <v>311</v>
      </c>
      <c r="C918" s="612">
        <f>SUM(C917:C917)</f>
        <v>223.80</v>
      </c>
    </row>
    <row r="920" spans="1:3" ht="26.25" customHeight="1">
      <c r="A920" s="350" t="str">
        <f>medição!A102</f>
        <v>12.20</v>
      </c>
      <c r="B920" s="438" t="str">
        <f>medição!B102</f>
        <v>CABO DE COBRRE FLEXÍVEL ISOLADO, 16 MM², ANTI-CHAMA 450/750KV, PARA CIRCUITOS TERMINAIS - FORNECIMENTO E INSTALAÇÃO. AF_12/2015</v>
      </c>
      <c r="C920" s="440"/>
    </row>
    <row r="921" spans="1:3" ht="13">
      <c r="A921" s="350"/>
      <c r="B921" s="345" t="s">
        <v>306</v>
      </c>
      <c r="C921" s="485" t="s">
        <v>833</v>
      </c>
    </row>
    <row r="922" spans="1:3" ht="13">
      <c r="A922" s="432"/>
      <c r="B922" s="528" t="s">
        <v>746</v>
      </c>
      <c r="C922" s="485"/>
    </row>
    <row r="923" spans="1:3" ht="13">
      <c r="A923" s="432"/>
      <c r="B923" s="354" t="s">
        <v>874</v>
      </c>
      <c r="C923" s="617">
        <v>10</v>
      </c>
    </row>
    <row r="924" spans="1:3" ht="13">
      <c r="A924" s="432"/>
      <c r="B924" s="567" t="s">
        <v>311</v>
      </c>
      <c r="C924" s="612">
        <f>SUM(C923:C923)</f>
        <v>10</v>
      </c>
    </row>
    <row r="926" spans="1:3" ht="24.75" customHeight="1">
      <c r="A926" s="350" t="str">
        <f>medição!A103</f>
        <v>12.21</v>
      </c>
      <c r="B926" s="438" t="str">
        <f>medição!B103</f>
        <v>ELETRODUTO FLEXÍVEL CORRUGADO REFORÇADO, PVC, DN 25 MM (3/4"), PARA CIRCUITOS TERMINAIS, INSTALADO EM FORRO - FORNECIMENTO E INSTALAÇÃO. AF_12/2015</v>
      </c>
      <c r="C926" s="440"/>
    </row>
    <row r="927" spans="1:3" ht="13">
      <c r="A927" s="350"/>
      <c r="B927" s="345" t="s">
        <v>306</v>
      </c>
      <c r="C927" s="485" t="s">
        <v>833</v>
      </c>
    </row>
    <row r="928" spans="1:3" ht="13">
      <c r="A928" s="432"/>
      <c r="B928" s="528" t="s">
        <v>746</v>
      </c>
      <c r="C928" s="485"/>
    </row>
    <row r="929" spans="1:3" ht="13">
      <c r="A929" s="432"/>
      <c r="B929" s="354" t="s">
        <v>874</v>
      </c>
      <c r="C929" s="617">
        <v>250</v>
      </c>
    </row>
    <row r="930" spans="1:3" ht="13">
      <c r="A930" s="432"/>
      <c r="B930" s="567" t="s">
        <v>311</v>
      </c>
      <c r="C930" s="612">
        <f>SUM(C929:C929)</f>
        <v>250</v>
      </c>
    </row>
    <row r="932" spans="1:10" ht="13">
      <c r="A932" s="350" t="str">
        <f>medição!A105</f>
        <v>13.0</v>
      </c>
      <c r="B932" s="430" t="str">
        <f>medição!B105</f>
        <v>INSTALAÇÕES HIDROSANITÁRIAS</v>
      </c>
      <c r="C932" s="430"/>
      <c r="D932" s="430"/>
      <c r="E932" s="430"/>
      <c r="F932" s="430"/>
      <c r="G932" s="430"/>
      <c r="H932" s="430"/>
      <c r="I932" s="430"/>
      <c r="J932" s="430"/>
    </row>
    <row r="934" spans="1:3" ht="27" customHeight="1">
      <c r="A934" s="350" t="str">
        <f>medição!A106</f>
        <v>13.1</v>
      </c>
      <c r="B934" s="438" t="str">
        <f>medição!B106</f>
        <v>TUBO, PVC, SOLDÁVEL, DN 20MM, INSTALADO EM RAMAL DE DISTRIBUIÇÃO DE ÁGUA - FORNECIMENTO E INSTALAÇÃO. AF_06/2022</v>
      </c>
      <c r="C934" s="440"/>
    </row>
    <row r="935" spans="1:3" ht="13">
      <c r="A935" s="350"/>
      <c r="B935" s="345" t="s">
        <v>306</v>
      </c>
      <c r="C935" s="485" t="s">
        <v>833</v>
      </c>
    </row>
    <row r="936" spans="1:3" ht="13">
      <c r="A936" s="432"/>
      <c r="B936" s="528" t="s">
        <v>746</v>
      </c>
      <c r="C936" s="485"/>
    </row>
    <row r="937" spans="1:3" ht="13">
      <c r="A937" s="432"/>
      <c r="B937" s="354" t="s">
        <v>875</v>
      </c>
      <c r="C937" s="617">
        <v>40</v>
      </c>
    </row>
    <row r="938" spans="1:3" ht="13">
      <c r="A938" s="432"/>
      <c r="B938" s="567" t="s">
        <v>311</v>
      </c>
      <c r="C938" s="612">
        <f>SUM(C937:C937)</f>
        <v>40</v>
      </c>
    </row>
    <row r="940" spans="1:3" ht="26.25" customHeight="1">
      <c r="A940" s="350" t="str">
        <f>medição!A107</f>
        <v>13.2</v>
      </c>
      <c r="B940" s="438" t="str">
        <f>medição!B107</f>
        <v>TUBO, PVC, SOLDÁVEL, DN 25MM, INSTALADO EM RAMAL DE DISTRIBUIÇÃO DE ÁGUA - FORNECIMENTO E INSTALAÇÃO. AF_06/2022</v>
      </c>
      <c r="C940" s="440"/>
    </row>
    <row r="941" spans="1:3" ht="13">
      <c r="A941" s="350"/>
      <c r="B941" s="345" t="s">
        <v>306</v>
      </c>
      <c r="C941" s="485" t="s">
        <v>833</v>
      </c>
    </row>
    <row r="942" spans="1:3" ht="13">
      <c r="A942" s="432"/>
      <c r="B942" s="528" t="s">
        <v>746</v>
      </c>
      <c r="C942" s="485"/>
    </row>
    <row r="943" spans="1:3" ht="13">
      <c r="A943" s="432"/>
      <c r="B943" s="354" t="s">
        <v>875</v>
      </c>
      <c r="C943" s="617">
        <v>65</v>
      </c>
    </row>
    <row r="944" spans="1:3" ht="13">
      <c r="A944" s="432"/>
      <c r="B944" s="567" t="s">
        <v>311</v>
      </c>
      <c r="C944" s="612">
        <f>SUM(C943:C943)</f>
        <v>65</v>
      </c>
    </row>
    <row r="946" spans="1:3" ht="24.75" customHeight="1">
      <c r="A946" s="350" t="str">
        <f>medição!A108</f>
        <v>13.3</v>
      </c>
      <c r="B946" s="438" t="str">
        <f>medição!B108</f>
        <v>TUBO, PVC, SOLDÁVEL, DN 32MM, INSTALADO EM RAMAL DE DISTRIBUIÇÃO DE ÁGUA - FORNECIMENTO E INSTALAÇÃO. AF_06/2022</v>
      </c>
      <c r="C946" s="440"/>
    </row>
    <row r="947" spans="1:3" ht="13">
      <c r="A947" s="350"/>
      <c r="B947" s="345" t="s">
        <v>306</v>
      </c>
      <c r="C947" s="485" t="s">
        <v>833</v>
      </c>
    </row>
    <row r="948" spans="1:3" ht="13">
      <c r="A948" s="432"/>
      <c r="B948" s="528" t="s">
        <v>746</v>
      </c>
      <c r="C948" s="485"/>
    </row>
    <row r="949" spans="1:3" ht="13">
      <c r="A949" s="432"/>
      <c r="B949" s="354" t="s">
        <v>875</v>
      </c>
      <c r="C949" s="617">
        <v>3</v>
      </c>
    </row>
    <row r="950" spans="1:3" ht="13">
      <c r="A950" s="432"/>
      <c r="B950" s="567" t="s">
        <v>311</v>
      </c>
      <c r="C950" s="612">
        <f>SUM(C949:C949)</f>
        <v>3</v>
      </c>
    </row>
    <row r="952" spans="1:3" ht="24" customHeight="1">
      <c r="A952" s="350" t="str">
        <f>medição!A109</f>
        <v>13.4</v>
      </c>
      <c r="B952" s="438" t="str">
        <f>medição!B109</f>
        <v>TUBO PVC, SERIE NORMAL, ESGOTO PREDIAL, DN 40 MM, FORNECIDO E INSTALADO EM RAMAL DE DESCARGA OU RAMAL DE ESGOTO SANITÁRIO. AF_08/2022</v>
      </c>
      <c r="C952" s="440"/>
    </row>
    <row r="953" spans="1:3" ht="13">
      <c r="A953" s="350"/>
      <c r="B953" s="345" t="s">
        <v>306</v>
      </c>
      <c r="C953" s="485" t="s">
        <v>833</v>
      </c>
    </row>
    <row r="954" spans="1:3" ht="13">
      <c r="A954" s="432"/>
      <c r="B954" s="528" t="s">
        <v>746</v>
      </c>
      <c r="C954" s="485"/>
    </row>
    <row r="955" spans="1:3" ht="13">
      <c r="A955" s="432"/>
      <c r="B955" s="354" t="s">
        <v>875</v>
      </c>
      <c r="C955" s="617">
        <v>30</v>
      </c>
    </row>
    <row r="956" spans="1:3" ht="13">
      <c r="A956" s="432"/>
      <c r="B956" s="567" t="s">
        <v>311</v>
      </c>
      <c r="C956" s="612">
        <f>SUM(C955:C955)</f>
        <v>30</v>
      </c>
    </row>
    <row r="958" spans="1:3" ht="24" customHeight="1">
      <c r="A958" s="350" t="str">
        <f>medição!A110</f>
        <v>13.5</v>
      </c>
      <c r="B958" s="438" t="str">
        <f>medição!B110</f>
        <v>TUBO PVC, SERIE NORMAL, ESGOTO PREDIAL, DN 50 MM, FORNECIDO E INSTALADO EM RAMAL DE DESCARGA OU RAMAL DE ESGOTO SANITÁRIO. AF_08/2022</v>
      </c>
      <c r="C958" s="440"/>
    </row>
    <row r="959" spans="1:3" ht="13">
      <c r="A959" s="350"/>
      <c r="B959" s="345" t="s">
        <v>306</v>
      </c>
      <c r="C959" s="485" t="s">
        <v>833</v>
      </c>
    </row>
    <row r="960" spans="1:3" ht="13">
      <c r="A960" s="432"/>
      <c r="B960" s="528" t="s">
        <v>746</v>
      </c>
      <c r="C960" s="485"/>
    </row>
    <row r="961" spans="1:3" ht="13">
      <c r="A961" s="432"/>
      <c r="B961" s="354" t="s">
        <v>875</v>
      </c>
      <c r="C961" s="617">
        <v>25</v>
      </c>
    </row>
    <row r="962" spans="1:3" ht="13">
      <c r="A962" s="432"/>
      <c r="B962" s="567" t="s">
        <v>311</v>
      </c>
      <c r="C962" s="612">
        <f>SUM(C961:C961)</f>
        <v>25</v>
      </c>
    </row>
    <row r="964" spans="1:3" ht="26.25" customHeight="1">
      <c r="A964" s="426" t="str">
        <f>medição!A111</f>
        <v>13.6</v>
      </c>
      <c r="B964" s="438" t="str">
        <f>medição!B111</f>
        <v>TUBO PVC, SERIE NORMAL, ESGOTO PREDIAL, DN 75 MM, FORNECIDO E INSTALADO EM RAMAL DE DESCARGA OU RAMAL DE ESGOTO SANITÁRIO. AF_08/2022</v>
      </c>
      <c r="C964" s="440"/>
    </row>
    <row r="965" spans="1:3" ht="13">
      <c r="A965" s="350"/>
      <c r="B965" s="345" t="s">
        <v>306</v>
      </c>
      <c r="C965" s="485" t="s">
        <v>833</v>
      </c>
    </row>
    <row r="966" spans="1:3" ht="13">
      <c r="A966" s="432"/>
      <c r="B966" s="528" t="s">
        <v>746</v>
      </c>
      <c r="C966" s="485"/>
    </row>
    <row r="967" spans="1:3" ht="13">
      <c r="A967" s="432"/>
      <c r="B967" s="354" t="s">
        <v>875</v>
      </c>
      <c r="C967" s="617">
        <v>20</v>
      </c>
    </row>
    <row r="968" spans="1:3" ht="13">
      <c r="A968" s="432"/>
      <c r="B968" s="567" t="s">
        <v>311</v>
      </c>
      <c r="C968" s="612">
        <f>SUM(C967:C967)</f>
        <v>20</v>
      </c>
    </row>
    <row r="970" spans="1:3" ht="24" customHeight="1">
      <c r="A970" s="426" t="str">
        <f>medição!A112</f>
        <v>13.7</v>
      </c>
      <c r="B970" s="438" t="str">
        <f>medição!B112</f>
        <v>TUBO PVC, SERIE NORMAL, ESGOTO PREDIAL, DN 100 MM, FORNECIDO E INSTALADO EM RAMAL DE DESCARGA OU RAMAL DE ESGOTO SANITÁRIO. AF_08/2022</v>
      </c>
      <c r="C970" s="440"/>
    </row>
    <row r="971" spans="1:3" ht="13">
      <c r="A971" s="350"/>
      <c r="B971" s="345" t="s">
        <v>306</v>
      </c>
      <c r="C971" s="485" t="s">
        <v>833</v>
      </c>
    </row>
    <row r="972" spans="1:3" ht="13">
      <c r="A972" s="432"/>
      <c r="B972" s="528" t="s">
        <v>746</v>
      </c>
      <c r="C972" s="485"/>
    </row>
    <row r="973" spans="1:3" ht="13">
      <c r="A973" s="432"/>
      <c r="B973" s="354" t="s">
        <v>875</v>
      </c>
      <c r="C973" s="617">
        <v>50</v>
      </c>
    </row>
    <row r="974" spans="1:3" ht="13">
      <c r="A974" s="432"/>
      <c r="B974" s="567" t="s">
        <v>311</v>
      </c>
      <c r="C974" s="612">
        <f>SUM(C973:C973)</f>
        <v>50</v>
      </c>
    </row>
    <row r="976" spans="1:3" ht="24" customHeight="1">
      <c r="A976" s="426" t="str">
        <f>medição!A113</f>
        <v>13.8</v>
      </c>
      <c r="B976" s="438" t="str">
        <f>medição!B113</f>
        <v>JOELHO 90 GRAUS, PVC, SOLDÁVEL, DN 20MM, INSTALADO EM RAMAL DE DISTRIBUIÇÃO DE ÁGUA - FORNECIMENTO E INSTALAÇÃO. </v>
      </c>
      <c r="C976" s="440"/>
    </row>
    <row r="977" spans="1:3" ht="13">
      <c r="A977" s="350"/>
      <c r="B977" s="345" t="s">
        <v>306</v>
      </c>
      <c r="C977" s="485" t="s">
        <v>745</v>
      </c>
    </row>
    <row r="978" spans="1:3" ht="13">
      <c r="A978" s="432"/>
      <c r="B978" s="528" t="s">
        <v>746</v>
      </c>
      <c r="C978" s="485"/>
    </row>
    <row r="979" spans="1:3" ht="13">
      <c r="A979" s="432"/>
      <c r="B979" s="354" t="s">
        <v>875</v>
      </c>
      <c r="C979" s="618">
        <v>9</v>
      </c>
    </row>
    <row r="980" spans="1:3" ht="13">
      <c r="A980" s="432"/>
      <c r="B980" s="567" t="s">
        <v>311</v>
      </c>
      <c r="C980" s="619">
        <f>SUM(C979:C979)</f>
        <v>9</v>
      </c>
    </row>
    <row r="982" spans="1:3" ht="26.25" customHeight="1">
      <c r="A982" s="426" t="str">
        <f>medição!A114</f>
        <v>13.9</v>
      </c>
      <c r="B982" s="438" t="str">
        <f>medição!B114</f>
        <v>JOELHO 90 GRAUS, PVC, SOLDÁVEL, DN 25MM, INSTALADO EM RAMAL DE DISTRIBUIÇÃO DE ÁGUA - FORNECIMENTO E INSTALAÇÃO. </v>
      </c>
      <c r="C982" s="440"/>
    </row>
    <row r="983" spans="1:3" ht="13">
      <c r="A983" s="350"/>
      <c r="B983" s="345" t="s">
        <v>306</v>
      </c>
      <c r="C983" s="485" t="s">
        <v>745</v>
      </c>
    </row>
    <row r="984" spans="1:3" ht="13">
      <c r="A984" s="432"/>
      <c r="B984" s="528" t="s">
        <v>746</v>
      </c>
      <c r="C984" s="485"/>
    </row>
    <row r="985" spans="1:3" ht="13">
      <c r="A985" s="432"/>
      <c r="B985" s="354" t="s">
        <v>875</v>
      </c>
      <c r="C985" s="618">
        <v>10</v>
      </c>
    </row>
    <row r="986" spans="1:3" ht="13">
      <c r="A986" s="432"/>
      <c r="B986" s="567" t="s">
        <v>311</v>
      </c>
      <c r="C986" s="619">
        <f>SUM(C985)</f>
        <v>10</v>
      </c>
    </row>
    <row r="988" spans="1:3" ht="24.75" customHeight="1">
      <c r="A988" s="426" t="str">
        <f>medição!A115</f>
        <v>13.10</v>
      </c>
      <c r="B988" s="438" t="str">
        <f>medição!B115</f>
        <v xml:space="preserve"> JOELHO DE REDUÇÃO, 90 GRAUS, PVC, SOLDÁVEL, DN 25 MM X 20 MM, INSTALADO EM RAMAL DE DISTRIBUIÇÃO DE ÁGUA - FORNECIMENTO E INSTALAÇÃO. AF_06/2022</v>
      </c>
      <c r="C988" s="440"/>
    </row>
    <row r="989" spans="1:3" ht="13">
      <c r="A989" s="350"/>
      <c r="B989" s="345" t="s">
        <v>306</v>
      </c>
      <c r="C989" s="485" t="s">
        <v>745</v>
      </c>
    </row>
    <row r="990" spans="1:3" ht="13">
      <c r="A990" s="432"/>
      <c r="B990" s="528" t="s">
        <v>746</v>
      </c>
      <c r="C990" s="485"/>
    </row>
    <row r="991" spans="1:3" ht="13">
      <c r="A991" s="432"/>
      <c r="B991" s="354" t="s">
        <v>875</v>
      </c>
      <c r="C991" s="618">
        <v>5</v>
      </c>
    </row>
    <row r="992" spans="1:3" ht="13">
      <c r="A992" s="432"/>
      <c r="B992" s="567" t="s">
        <v>311</v>
      </c>
      <c r="C992" s="619">
        <f>SUM(C991)</f>
        <v>5</v>
      </c>
    </row>
    <row r="994" spans="1:3" ht="27" customHeight="1">
      <c r="A994" s="426" t="str">
        <f>medição!A116</f>
        <v>13.11</v>
      </c>
      <c r="B994" s="438" t="str">
        <f>medição!B116</f>
        <v>JOELHO DE REDUÇÃO, 90 GRAUS, PVC, SOLDÁVEL, DN 32 MM X 25 MM, INSTALADO EM PRUMADA DE ÁGUA - FORNECIMENTO E INSTALAÇÃO. AF_06/2022</v>
      </c>
      <c r="C994" s="440"/>
    </row>
    <row r="995" spans="1:3" ht="13">
      <c r="A995" s="350"/>
      <c r="B995" s="345" t="s">
        <v>306</v>
      </c>
      <c r="C995" s="485" t="s">
        <v>745</v>
      </c>
    </row>
    <row r="996" spans="1:3" ht="13">
      <c r="A996" s="432"/>
      <c r="B996" s="528" t="s">
        <v>746</v>
      </c>
      <c r="C996" s="485"/>
    </row>
    <row r="997" spans="1:3" ht="13">
      <c r="A997" s="432"/>
      <c r="B997" s="354" t="s">
        <v>875</v>
      </c>
      <c r="C997" s="618">
        <v>1</v>
      </c>
    </row>
    <row r="998" spans="1:3" ht="13">
      <c r="A998" s="432"/>
      <c r="B998" s="567" t="s">
        <v>311</v>
      </c>
      <c r="C998" s="619">
        <f>SUM(C997)</f>
        <v>1</v>
      </c>
    </row>
    <row r="1000" spans="1:3" ht="27" customHeight="1">
      <c r="A1000" s="426" t="str">
        <f>medição!A117</f>
        <v>13.12</v>
      </c>
      <c r="B1000" s="438" t="str">
        <f>medição!B117</f>
        <v>TÊ DE REDUÇÃO, PVC, SOLDÁVEL, DN 25MM X 20MM, INSTALADO EM RAMAL DE DISTRIBUIÇÃO DE ÁGUA - FORNECIMENTO E INSTALAÇÃO. AF_06/2022</v>
      </c>
      <c r="C1000" s="440"/>
    </row>
    <row r="1001" spans="1:3" ht="13">
      <c r="A1001" s="350"/>
      <c r="B1001" s="345" t="s">
        <v>306</v>
      </c>
      <c r="C1001" s="485" t="s">
        <v>745</v>
      </c>
    </row>
    <row r="1002" spans="1:3" ht="13">
      <c r="A1002" s="432"/>
      <c r="B1002" s="528" t="s">
        <v>746</v>
      </c>
      <c r="C1002" s="485"/>
    </row>
    <row r="1003" spans="1:3" ht="13">
      <c r="A1003" s="432"/>
      <c r="B1003" s="354" t="s">
        <v>875</v>
      </c>
      <c r="C1003" s="618">
        <v>5</v>
      </c>
    </row>
    <row r="1004" spans="1:3" ht="13">
      <c r="A1004" s="432"/>
      <c r="B1004" s="567" t="s">
        <v>311</v>
      </c>
      <c r="C1004" s="619">
        <f>SUM(C1003)</f>
        <v>5</v>
      </c>
    </row>
    <row r="1006" spans="1:3" ht="26.25" customHeight="1">
      <c r="A1006" s="426" t="str">
        <f>medição!A118</f>
        <v>13.13</v>
      </c>
      <c r="B1006" s="438" t="str">
        <f>medição!B118</f>
        <v>JOELHO PVC, SOLDAVEL, COM BUCHA DE LATAO, 90 GRAUS, 20 MM X 1/2", PARA AGUA FRIA PREDIAL - FORNECIMENTO E INSTALAÇÃO</v>
      </c>
      <c r="C1006" s="440"/>
    </row>
    <row r="1007" spans="1:3" ht="13">
      <c r="A1007" s="350"/>
      <c r="B1007" s="345" t="s">
        <v>306</v>
      </c>
      <c r="C1007" s="485" t="s">
        <v>745</v>
      </c>
    </row>
    <row r="1008" spans="1:3" ht="13">
      <c r="A1008" s="432"/>
      <c r="B1008" s="528" t="s">
        <v>746</v>
      </c>
      <c r="C1008" s="485"/>
    </row>
    <row r="1009" spans="1:3" ht="13">
      <c r="A1009" s="432"/>
      <c r="B1009" s="354" t="s">
        <v>875</v>
      </c>
      <c r="C1009" s="618">
        <v>19</v>
      </c>
    </row>
    <row r="1010" spans="1:3" ht="13">
      <c r="A1010" s="432"/>
      <c r="B1010" s="567" t="s">
        <v>311</v>
      </c>
      <c r="C1010" s="619">
        <f>SUM(C1009)</f>
        <v>19</v>
      </c>
    </row>
    <row r="1011" spans="1:1" ht="13">
      <c r="A1011" s="418"/>
    </row>
    <row r="1012" spans="1:3" ht="24" customHeight="1">
      <c r="A1012" s="426" t="str">
        <f>medição!A119</f>
        <v>13.14</v>
      </c>
      <c r="B1012" s="438" t="str">
        <f>medição!B119</f>
        <v>REGISTRO DE PRESSÃO BRUTO, LATÃO, ROSCÁVEL, 1/2" - FORNECIMENTO E INSTALAÇÃO. AF_08/2021</v>
      </c>
      <c r="C1012" s="440"/>
    </row>
    <row r="1013" spans="1:3" ht="13">
      <c r="A1013" s="350"/>
      <c r="B1013" s="345" t="s">
        <v>306</v>
      </c>
      <c r="C1013" s="485" t="s">
        <v>745</v>
      </c>
    </row>
    <row r="1014" spans="1:3" ht="13">
      <c r="A1014" s="432"/>
      <c r="B1014" s="528" t="s">
        <v>746</v>
      </c>
      <c r="C1014" s="485"/>
    </row>
    <row r="1015" spans="1:3" ht="13">
      <c r="A1015" s="432"/>
      <c r="B1015" s="354" t="s">
        <v>875</v>
      </c>
      <c r="C1015" s="618">
        <v>2</v>
      </c>
    </row>
    <row r="1016" spans="1:3" ht="13">
      <c r="A1016" s="432"/>
      <c r="B1016" s="567" t="s">
        <v>311</v>
      </c>
      <c r="C1016" s="619">
        <f>SUM(C1015)</f>
        <v>2</v>
      </c>
    </row>
    <row r="1018" spans="1:3" ht="26.25" customHeight="1">
      <c r="A1018" s="426" t="str">
        <f>medição!A120</f>
        <v>13.15</v>
      </c>
      <c r="B1018" s="438" t="str">
        <f>medição!B120</f>
        <v>REGISTRO DE GAVETA BRUTO, LATÃO, ROSCÁVEL, 3/4", COM ACABAMENTO E CANOPLA CROMADOS - FORNECIMENTO E INSTALAÇÃO. AF_08/2021</v>
      </c>
      <c r="C1018" s="440"/>
    </row>
    <row r="1019" spans="1:3" ht="13">
      <c r="A1019" s="350"/>
      <c r="B1019" s="345" t="s">
        <v>306</v>
      </c>
      <c r="C1019" s="485" t="s">
        <v>745</v>
      </c>
    </row>
    <row r="1020" spans="1:3" ht="13">
      <c r="A1020" s="432"/>
      <c r="B1020" s="528" t="s">
        <v>746</v>
      </c>
      <c r="C1020" s="485"/>
    </row>
    <row r="1021" spans="1:3" ht="13">
      <c r="A1021" s="432"/>
      <c r="B1021" s="354" t="s">
        <v>875</v>
      </c>
      <c r="C1021" s="618">
        <v>5</v>
      </c>
    </row>
    <row r="1022" spans="1:3" ht="13">
      <c r="A1022" s="432"/>
      <c r="B1022" s="567" t="s">
        <v>311</v>
      </c>
      <c r="C1022" s="619">
        <f>SUM(C1021)</f>
        <v>5</v>
      </c>
    </row>
    <row r="1024" spans="1:3" ht="26.25" customHeight="1">
      <c r="A1024" s="426" t="str">
        <f>medição!A121</f>
        <v>13.16</v>
      </c>
      <c r="B1024" s="438" t="str">
        <f>medição!B121</f>
        <v>JOELHO 90 GRAUS, PVC, SERIE NORMAL, ESGOTO PREDIAL, DN 100 MM, JUNTA ELÁSTICA, FORNECIDO E INSTALADO EM RAMAL DE DESCARGA OU RAMAL DE ESGOTO SANITÁRIO.</v>
      </c>
      <c r="C1024" s="440"/>
    </row>
    <row r="1025" spans="1:3" ht="13">
      <c r="A1025" s="350"/>
      <c r="B1025" s="345" t="s">
        <v>306</v>
      </c>
      <c r="C1025" s="485" t="s">
        <v>745</v>
      </c>
    </row>
    <row r="1026" spans="1:3" ht="13">
      <c r="A1026" s="432"/>
      <c r="B1026" s="528" t="s">
        <v>746</v>
      </c>
      <c r="C1026" s="485"/>
    </row>
    <row r="1027" spans="1:3" ht="13">
      <c r="A1027" s="432"/>
      <c r="B1027" s="354" t="s">
        <v>875</v>
      </c>
      <c r="C1027" s="618">
        <v>6</v>
      </c>
    </row>
    <row r="1028" spans="1:3" ht="13">
      <c r="A1028" s="432"/>
      <c r="B1028" s="567" t="s">
        <v>311</v>
      </c>
      <c r="C1028" s="619">
        <f>SUM(C1027)</f>
        <v>6</v>
      </c>
    </row>
    <row r="1030" spans="1:3" ht="27" customHeight="1">
      <c r="A1030" s="426" t="str">
        <f>medição!A122</f>
        <v>13.17</v>
      </c>
      <c r="B1030" s="438" t="str">
        <f>medição!B122</f>
        <v>JOELHO 90 GRAUS, PVC, SERIE NORMAL, ESGOTO PREDIAL, DN 50 MM, JUNTA ELÁSTICA, FORNECIDO E INSTALADO EM RAMAL DE DESCARGA OU RAMAL DE ESGOTO SANITÁRIO.</v>
      </c>
      <c r="C1030" s="440"/>
    </row>
    <row r="1031" spans="1:3" ht="13">
      <c r="A1031" s="350"/>
      <c r="B1031" s="345" t="s">
        <v>306</v>
      </c>
      <c r="C1031" s="485" t="s">
        <v>745</v>
      </c>
    </row>
    <row r="1032" spans="1:3" ht="13">
      <c r="A1032" s="432"/>
      <c r="B1032" s="528" t="s">
        <v>746</v>
      </c>
      <c r="C1032" s="485"/>
    </row>
    <row r="1033" spans="1:3" ht="13">
      <c r="A1033" s="432"/>
      <c r="B1033" s="354" t="s">
        <v>875</v>
      </c>
      <c r="C1033" s="618">
        <v>5</v>
      </c>
    </row>
    <row r="1034" spans="1:3" ht="13">
      <c r="A1034" s="432"/>
      <c r="B1034" s="567" t="s">
        <v>311</v>
      </c>
      <c r="C1034" s="619">
        <f>SUM(C1033)</f>
        <v>5</v>
      </c>
    </row>
    <row r="1036" spans="1:3" ht="26.25" customHeight="1">
      <c r="A1036" s="426" t="str">
        <f>medição!A123</f>
        <v>13.18</v>
      </c>
      <c r="B1036" s="438" t="str">
        <f>medição!B123</f>
        <v xml:space="preserve"> TE, PVC, SERIE NORMAL, ESGOTO PREDIAL, DN 40 X 40 MM, JUNTA SOLDÁVEL, FORNECIDO E INSTALADO EM RAMAL DE DESCARGA OU RAMAL DE ESGOTO SANITÁRIO. AF_08/2022</v>
      </c>
      <c r="C1036" s="440"/>
    </row>
    <row r="1037" spans="1:3" ht="13">
      <c r="A1037" s="350"/>
      <c r="B1037" s="345" t="s">
        <v>306</v>
      </c>
      <c r="C1037" s="485" t="s">
        <v>745</v>
      </c>
    </row>
    <row r="1038" spans="1:3" ht="13">
      <c r="A1038" s="432"/>
      <c r="B1038" s="528" t="s">
        <v>746</v>
      </c>
      <c r="C1038" s="485"/>
    </row>
    <row r="1039" spans="1:3" ht="13">
      <c r="A1039" s="432"/>
      <c r="B1039" s="354" t="s">
        <v>875</v>
      </c>
      <c r="C1039" s="618">
        <v>1</v>
      </c>
    </row>
    <row r="1040" spans="1:3" ht="13">
      <c r="A1040" s="432"/>
      <c r="B1040" s="567" t="s">
        <v>311</v>
      </c>
      <c r="C1040" s="619">
        <f>SUM(C1039)</f>
        <v>1</v>
      </c>
    </row>
    <row r="1042" spans="1:3" ht="28.5" customHeight="1">
      <c r="A1042" s="426" t="str">
        <f>medição!A124</f>
        <v>13.19</v>
      </c>
      <c r="B1042" s="438" t="str">
        <f>medição!B124</f>
        <v>RALO SIFONADO, PVC, DN 100 X 40MM, JUNTA SOLDÁVEL, FORNECIDO E INSTALADO EM RAMAL DE DESCARGA OU EM RAMAL DE ESGOTO SANITÁRIO. AF_08/2022</v>
      </c>
      <c r="C1042" s="440"/>
    </row>
    <row r="1043" spans="1:3" ht="13">
      <c r="A1043" s="350"/>
      <c r="B1043" s="345" t="s">
        <v>306</v>
      </c>
      <c r="C1043" s="485" t="s">
        <v>745</v>
      </c>
    </row>
    <row r="1044" spans="1:3" ht="13">
      <c r="A1044" s="432"/>
      <c r="B1044" s="528" t="s">
        <v>746</v>
      </c>
      <c r="C1044" s="485"/>
    </row>
    <row r="1045" spans="1:3" ht="13">
      <c r="A1045" s="432"/>
      <c r="B1045" s="354" t="s">
        <v>875</v>
      </c>
      <c r="C1045" s="618">
        <v>6</v>
      </c>
    </row>
    <row r="1046" spans="1:3" ht="13">
      <c r="A1046" s="432"/>
      <c r="B1046" s="567" t="s">
        <v>311</v>
      </c>
      <c r="C1046" s="619">
        <f>SUM(C1045)</f>
        <v>6</v>
      </c>
    </row>
    <row r="1048" spans="1:3" ht="13">
      <c r="A1048" s="426" t="str">
        <f>medição!A125</f>
        <v>13.20</v>
      </c>
      <c r="B1048" s="438" t="str">
        <f>medição!B125</f>
        <v xml:space="preserve"> Caixa em alvenaria de 60x60x60cm c/ tpo. Concreto</v>
      </c>
      <c r="C1048" s="440"/>
    </row>
    <row r="1049" spans="1:3" ht="13">
      <c r="A1049" s="350"/>
      <c r="B1049" s="345" t="s">
        <v>306</v>
      </c>
      <c r="C1049" s="485" t="s">
        <v>745</v>
      </c>
    </row>
    <row r="1050" spans="1:3" ht="13">
      <c r="A1050" s="432"/>
      <c r="B1050" s="528" t="s">
        <v>746</v>
      </c>
      <c r="C1050" s="485"/>
    </row>
    <row r="1051" spans="1:3" ht="13">
      <c r="A1051" s="432"/>
      <c r="B1051" s="354" t="s">
        <v>875</v>
      </c>
      <c r="C1051" s="618">
        <v>12</v>
      </c>
    </row>
    <row r="1052" spans="1:3" ht="13">
      <c r="A1052" s="432"/>
      <c r="B1052" s="567" t="s">
        <v>311</v>
      </c>
      <c r="C1052" s="619">
        <f>SUM(C1051)</f>
        <v>12</v>
      </c>
    </row>
    <row r="1054" spans="1:3" ht="38.25" customHeight="1">
      <c r="A1054" s="426" t="str">
        <f>medição!A126</f>
        <v>13.21</v>
      </c>
      <c r="B1054" s="438" t="str">
        <f>medição!B126</f>
        <v>TANQUE SÉPTICO RETANGULAR, EM ALVENARIA COM TIJOLOS CERÂMICOS MACIÇOS. DIMENSÕES INTERNAS: 1,2 X 2,4 X H=1,6M, VOLUME ÚTIL:4456 L (PARA 13 CONTRIBUINTES). AF_12/2020</v>
      </c>
      <c r="C1054" s="440"/>
    </row>
    <row r="1055" spans="1:3" ht="13">
      <c r="A1055" s="350"/>
      <c r="B1055" s="345" t="s">
        <v>306</v>
      </c>
      <c r="C1055" s="485" t="s">
        <v>745</v>
      </c>
    </row>
    <row r="1056" spans="1:3" ht="13">
      <c r="A1056" s="432"/>
      <c r="B1056" s="528" t="s">
        <v>746</v>
      </c>
      <c r="C1056" s="485"/>
    </row>
    <row r="1057" spans="1:3" ht="13">
      <c r="A1057" s="432"/>
      <c r="B1057" s="354" t="s">
        <v>875</v>
      </c>
      <c r="C1057" s="618">
        <v>1</v>
      </c>
    </row>
    <row r="1058" spans="1:3" ht="13">
      <c r="A1058" s="432"/>
      <c r="B1058" s="567" t="s">
        <v>311</v>
      </c>
      <c r="C1058" s="619">
        <f>SUM(C1057)</f>
        <v>1</v>
      </c>
    </row>
    <row r="1060" spans="1:3" ht="27" customHeight="1">
      <c r="A1060" s="426" t="str">
        <f>medição!A127</f>
        <v>13.22</v>
      </c>
      <c r="B1060" s="438" t="str">
        <f>medição!B127</f>
        <v>SUMIDOURO RETANGULAR, EM ALVENARIA COM BLOCOS DE CONCRETO, DIMENSÕES INTERNAS: 0,8 X 1,4 X H=3,0M, ÁREA DE INFILTRAÇÃO 31,M² (PARA 5 CONTRIBUINTES)</v>
      </c>
      <c r="C1060" s="440"/>
    </row>
    <row r="1061" spans="1:3" ht="13">
      <c r="A1061" s="350"/>
      <c r="B1061" s="345" t="s">
        <v>306</v>
      </c>
      <c r="C1061" s="485" t="s">
        <v>745</v>
      </c>
    </row>
    <row r="1062" spans="1:3" ht="13">
      <c r="A1062" s="432"/>
      <c r="B1062" s="528" t="s">
        <v>746</v>
      </c>
      <c r="C1062" s="485"/>
    </row>
    <row r="1063" spans="1:3" ht="13">
      <c r="A1063" s="432"/>
      <c r="B1063" s="354" t="s">
        <v>875</v>
      </c>
      <c r="C1063" s="618">
        <v>1</v>
      </c>
    </row>
    <row r="1064" spans="1:3" ht="13">
      <c r="A1064" s="432"/>
      <c r="B1064" s="567" t="s">
        <v>311</v>
      </c>
      <c r="C1064" s="619">
        <f>SUM(C1063)</f>
        <v>1</v>
      </c>
    </row>
    <row r="1066" spans="1:10" ht="13">
      <c r="A1066" s="485" t="str">
        <f>medição!A129</f>
        <v>14.0</v>
      </c>
      <c r="B1066" s="430" t="str">
        <f>medição!B129</f>
        <v>LOUÇAS/METAIS/BANCADAS</v>
      </c>
      <c r="C1066" s="430"/>
      <c r="D1066" s="430"/>
      <c r="E1066" s="430"/>
      <c r="F1066" s="430"/>
      <c r="G1066" s="430"/>
      <c r="H1066" s="430"/>
      <c r="I1066" s="430"/>
      <c r="J1066" s="430"/>
    </row>
    <row r="1068" spans="1:3" ht="24" customHeight="1">
      <c r="A1068" s="485" t="str">
        <f>medição!A130</f>
        <v>14.1</v>
      </c>
      <c r="B1068" s="438" t="str">
        <f>medição!B130</f>
        <v>VASO SANITÁRIO SIFONADO COM CAIXA ACOPLADA LOUÇA BRANCA - FORNECIMENTO E INSTALAÇÃO. AF_01/2020</v>
      </c>
      <c r="C1068" s="440"/>
    </row>
    <row r="1069" spans="1:3" ht="13">
      <c r="A1069" s="350"/>
      <c r="B1069" s="345" t="s">
        <v>306</v>
      </c>
      <c r="C1069" s="485" t="s">
        <v>745</v>
      </c>
    </row>
    <row r="1070" spans="1:3" ht="13">
      <c r="A1070" s="432"/>
      <c r="B1070" s="528" t="s">
        <v>746</v>
      </c>
      <c r="C1070" s="485"/>
    </row>
    <row r="1071" spans="1:3" ht="13">
      <c r="A1071" s="432"/>
      <c r="B1071" s="620" t="s">
        <v>876</v>
      </c>
      <c r="C1071" s="618">
        <v>1</v>
      </c>
    </row>
    <row r="1072" spans="1:3" ht="13">
      <c r="A1072" s="432"/>
      <c r="B1072" s="620" t="s">
        <v>877</v>
      </c>
      <c r="C1072" s="618">
        <v>1</v>
      </c>
    </row>
    <row r="1073" spans="1:3" ht="13">
      <c r="A1073" s="432"/>
      <c r="B1073" s="620" t="s">
        <v>878</v>
      </c>
      <c r="C1073" s="618">
        <v>1</v>
      </c>
    </row>
    <row r="1074" spans="1:3" ht="13">
      <c r="A1074" s="432"/>
      <c r="B1074" s="620" t="s">
        <v>879</v>
      </c>
      <c r="C1074" s="618">
        <v>1</v>
      </c>
    </row>
    <row r="1075" spans="1:3" ht="13">
      <c r="A1075" s="432"/>
      <c r="B1075" s="620" t="s">
        <v>880</v>
      </c>
      <c r="C1075" s="618">
        <v>1</v>
      </c>
    </row>
    <row r="1076" spans="1:3" ht="13">
      <c r="A1076" s="432"/>
      <c r="B1076" s="620" t="s">
        <v>881</v>
      </c>
      <c r="C1076" s="618">
        <v>1</v>
      </c>
    </row>
    <row r="1077" spans="1:3" ht="13">
      <c r="A1077" s="432"/>
      <c r="B1077" s="620" t="s">
        <v>882</v>
      </c>
      <c r="C1077" s="618">
        <v>1</v>
      </c>
    </row>
    <row r="1078" spans="1:3" ht="13">
      <c r="A1078" s="432"/>
      <c r="B1078" s="567" t="s">
        <v>311</v>
      </c>
      <c r="C1078" s="619">
        <f>SUM(C1071:C1077)</f>
        <v>7</v>
      </c>
    </row>
    <row r="1080" spans="1:3" ht="13">
      <c r="A1080" s="485" t="str">
        <f>medição!A131</f>
        <v>14.2</v>
      </c>
      <c r="B1080" s="438" t="str">
        <f>medição!B131</f>
        <v>ASSENTO SANITÁRIO CONVENCIONAL - FORNECIMENTO E INSTALACAO. AF_01/2020</v>
      </c>
      <c r="C1080" s="440"/>
    </row>
    <row r="1081" spans="1:3" ht="13">
      <c r="A1081" s="350"/>
      <c r="B1081" s="345" t="s">
        <v>306</v>
      </c>
      <c r="C1081" s="485" t="s">
        <v>745</v>
      </c>
    </row>
    <row r="1082" spans="1:3" ht="13">
      <c r="A1082" s="432"/>
      <c r="B1082" s="528" t="s">
        <v>746</v>
      </c>
      <c r="C1082" s="485"/>
    </row>
    <row r="1083" spans="1:3" ht="13">
      <c r="A1083" s="432"/>
      <c r="B1083" s="620" t="s">
        <v>876</v>
      </c>
      <c r="C1083" s="618">
        <v>1</v>
      </c>
    </row>
    <row r="1084" spans="1:3" ht="13">
      <c r="A1084" s="432"/>
      <c r="B1084" s="620" t="s">
        <v>877</v>
      </c>
      <c r="C1084" s="618">
        <v>1</v>
      </c>
    </row>
    <row r="1085" spans="1:3" ht="13">
      <c r="A1085" s="432"/>
      <c r="B1085" s="620" t="s">
        <v>878</v>
      </c>
      <c r="C1085" s="618">
        <v>1</v>
      </c>
    </row>
    <row r="1086" spans="1:3" ht="13">
      <c r="A1086" s="432"/>
      <c r="B1086" s="620" t="s">
        <v>879</v>
      </c>
      <c r="C1086" s="618">
        <v>1</v>
      </c>
    </row>
    <row r="1087" spans="1:3" ht="13">
      <c r="A1087" s="432"/>
      <c r="B1087" s="620" t="s">
        <v>880</v>
      </c>
      <c r="C1087" s="618">
        <v>1</v>
      </c>
    </row>
    <row r="1088" spans="1:3" ht="13">
      <c r="A1088" s="432"/>
      <c r="B1088" s="620" t="s">
        <v>881</v>
      </c>
      <c r="C1088" s="618">
        <v>1</v>
      </c>
    </row>
    <row r="1089" spans="1:3" ht="13">
      <c r="A1089" s="432"/>
      <c r="B1089" s="620" t="s">
        <v>882</v>
      </c>
      <c r="C1089" s="618">
        <v>1</v>
      </c>
    </row>
    <row r="1090" spans="1:3" ht="13">
      <c r="A1090" s="432"/>
      <c r="B1090" s="567" t="s">
        <v>311</v>
      </c>
      <c r="C1090" s="619">
        <f>SUM(C1083:C1089)</f>
        <v>7</v>
      </c>
    </row>
    <row r="1092" spans="1:3" ht="38.25" customHeight="1">
      <c r="A1092" s="426" t="str">
        <f>medição!A132</f>
        <v>14.3</v>
      </c>
      <c r="B1092" s="438" t="str">
        <f>medição!B132</f>
        <v>LAVATÓRIO LOUÇA BRANCA COM COLUNA, 45 X 55CM OU EQUIVALENTE, PADRÃO MÉDIO, INCLUSO SIFÃO TIPO GARRAFA, VÁLVULA E ENGATE FLEXÍVEL DE 40CM EM METAL CROMADO, COM TORNEIRA CROMADA DE MESA, PADRÃO MÉDIO - FORNECIMENTO E INSTALAÇÃO. AF_01/2020</v>
      </c>
      <c r="C1092" s="440"/>
    </row>
    <row r="1093" spans="1:3" ht="13">
      <c r="A1093" s="350"/>
      <c r="B1093" s="345" t="s">
        <v>306</v>
      </c>
      <c r="C1093" s="485" t="s">
        <v>745</v>
      </c>
    </row>
    <row r="1094" spans="1:3" ht="13">
      <c r="A1094" s="432"/>
      <c r="B1094" s="528" t="s">
        <v>746</v>
      </c>
      <c r="C1094" s="485"/>
    </row>
    <row r="1095" spans="1:3" ht="13">
      <c r="A1095" s="432"/>
      <c r="B1095" s="620" t="s">
        <v>876</v>
      </c>
      <c r="C1095" s="618">
        <v>1</v>
      </c>
    </row>
    <row r="1096" spans="1:3" ht="13">
      <c r="A1096" s="432"/>
      <c r="B1096" s="620" t="s">
        <v>877</v>
      </c>
      <c r="C1096" s="618">
        <v>1</v>
      </c>
    </row>
    <row r="1097" spans="1:3" ht="13">
      <c r="A1097" s="432"/>
      <c r="B1097" s="620" t="s">
        <v>878</v>
      </c>
      <c r="C1097" s="618">
        <v>1</v>
      </c>
    </row>
    <row r="1098" spans="1:3" ht="13">
      <c r="A1098" s="432"/>
      <c r="B1098" s="620" t="s">
        <v>879</v>
      </c>
      <c r="C1098" s="618">
        <v>1</v>
      </c>
    </row>
    <row r="1099" spans="1:3" ht="13">
      <c r="A1099" s="432"/>
      <c r="B1099" s="620" t="s">
        <v>880</v>
      </c>
      <c r="C1099" s="618">
        <v>1</v>
      </c>
    </row>
    <row r="1100" spans="1:3" ht="13">
      <c r="A1100" s="432"/>
      <c r="B1100" s="620" t="s">
        <v>881</v>
      </c>
      <c r="C1100" s="618">
        <v>1</v>
      </c>
    </row>
    <row r="1101" spans="1:3" ht="13">
      <c r="A1101" s="432"/>
      <c r="B1101" s="620" t="s">
        <v>882</v>
      </c>
      <c r="C1101" s="618">
        <v>1</v>
      </c>
    </row>
    <row r="1102" spans="1:3" ht="13">
      <c r="A1102" s="432"/>
      <c r="B1102" s="620" t="s">
        <v>883</v>
      </c>
      <c r="C1102" s="621">
        <v>1</v>
      </c>
    </row>
    <row r="1103" spans="1:3" ht="13">
      <c r="A1103" s="432"/>
      <c r="B1103" s="620" t="s">
        <v>884</v>
      </c>
      <c r="C1103" s="621">
        <v>1</v>
      </c>
    </row>
    <row r="1104" spans="1:3" ht="13">
      <c r="A1104" s="432"/>
      <c r="B1104" s="567" t="s">
        <v>311</v>
      </c>
      <c r="C1104" s="619">
        <f>SUM(C1095:C1103)</f>
        <v>9</v>
      </c>
    </row>
    <row r="1106" spans="1:3" ht="13">
      <c r="A1106" s="426" t="str">
        <f>medição!A133</f>
        <v>14.4</v>
      </c>
      <c r="B1106" s="438" t="str">
        <f>medição!B133</f>
        <v>PORTA PAPEL HIGIÊNICO - POLIPROPILENO</v>
      </c>
      <c r="C1106" s="440"/>
    </row>
    <row r="1107" spans="1:3" ht="13">
      <c r="A1107" s="350"/>
      <c r="B1107" s="345" t="s">
        <v>306</v>
      </c>
      <c r="C1107" s="485" t="s">
        <v>745</v>
      </c>
    </row>
    <row r="1108" spans="1:3" ht="13">
      <c r="A1108" s="432"/>
      <c r="B1108" s="528" t="s">
        <v>746</v>
      </c>
      <c r="C1108" s="485"/>
    </row>
    <row r="1109" spans="1:3" ht="13">
      <c r="A1109" s="432"/>
      <c r="B1109" s="620" t="s">
        <v>876</v>
      </c>
      <c r="C1109" s="618">
        <v>1</v>
      </c>
    </row>
    <row r="1110" spans="1:3" ht="13">
      <c r="A1110" s="432"/>
      <c r="B1110" s="620" t="s">
        <v>877</v>
      </c>
      <c r="C1110" s="618">
        <v>1</v>
      </c>
    </row>
    <row r="1111" spans="1:3" ht="13">
      <c r="A1111" s="432"/>
      <c r="B1111" s="620" t="s">
        <v>878</v>
      </c>
      <c r="C1111" s="618">
        <v>1</v>
      </c>
    </row>
    <row r="1112" spans="1:3" ht="13">
      <c r="A1112" s="432"/>
      <c r="B1112" s="620" t="s">
        <v>879</v>
      </c>
      <c r="C1112" s="618">
        <v>1</v>
      </c>
    </row>
    <row r="1113" spans="1:3" ht="13">
      <c r="A1113" s="432"/>
      <c r="B1113" s="620" t="s">
        <v>880</v>
      </c>
      <c r="C1113" s="618">
        <v>1</v>
      </c>
    </row>
    <row r="1114" spans="1:3" ht="13">
      <c r="A1114" s="432"/>
      <c r="B1114" s="620" t="s">
        <v>881</v>
      </c>
      <c r="C1114" s="618">
        <v>1</v>
      </c>
    </row>
    <row r="1115" spans="1:3" ht="13">
      <c r="A1115" s="432"/>
      <c r="B1115" s="620" t="s">
        <v>882</v>
      </c>
      <c r="C1115" s="618">
        <v>1</v>
      </c>
    </row>
    <row r="1116" spans="1:3" ht="13">
      <c r="A1116" s="432"/>
      <c r="B1116" s="567" t="s">
        <v>311</v>
      </c>
      <c r="C1116" s="619">
        <f>SUM(C1109:C1115)</f>
        <v>7</v>
      </c>
    </row>
    <row r="1118" spans="1:3" ht="27.75" customHeight="1">
      <c r="A1118" s="426" t="str">
        <f>medição!A134</f>
        <v>14.5</v>
      </c>
      <c r="B1118" s="438" t="str">
        <f>medição!B134</f>
        <v>BANCADA EM GRANITO POLIDO C/CUBA INOX, INCL. VÁLVULA, SIFÃO E TORNEIRA, FORNECIMENTO E INSTALAÇÃO.</v>
      </c>
      <c r="C1118" s="440"/>
    </row>
    <row r="1119" spans="1:3" ht="13">
      <c r="A1119" s="350"/>
      <c r="B1119" s="345" t="s">
        <v>306</v>
      </c>
      <c r="C1119" s="485" t="s">
        <v>745</v>
      </c>
    </row>
    <row r="1120" spans="1:3" ht="13">
      <c r="A1120" s="432"/>
      <c r="B1120" s="528" t="s">
        <v>746</v>
      </c>
      <c r="C1120" s="485"/>
    </row>
    <row r="1121" spans="1:3" ht="13">
      <c r="A1121" s="432"/>
      <c r="B1121" s="354" t="s">
        <v>885</v>
      </c>
      <c r="C1121" s="618">
        <v>1</v>
      </c>
    </row>
    <row r="1122" spans="1:3" ht="13">
      <c r="A1122" s="432"/>
      <c r="B1122" s="567" t="s">
        <v>311</v>
      </c>
      <c r="C1122" s="619">
        <f>SUM(C1121)</f>
        <v>1</v>
      </c>
    </row>
    <row r="1124" spans="1:3" ht="13">
      <c r="A1124" s="426" t="str">
        <f>medição!A135</f>
        <v>14.6</v>
      </c>
      <c r="B1124" s="438" t="str">
        <f>medição!B135</f>
        <v xml:space="preserve">SABONETEIRA PLASTICA TIPO DISPENSER PARA SABONETE LIQUIDO COM RESERVATORIO 800 A 1500 ML, INCLUSO FIXAÇÃO. </v>
      </c>
      <c r="C1124" s="440"/>
    </row>
    <row r="1125" spans="1:3" ht="13">
      <c r="A1125" s="350"/>
      <c r="B1125" s="345" t="s">
        <v>306</v>
      </c>
      <c r="C1125" s="485" t="s">
        <v>745</v>
      </c>
    </row>
    <row r="1126" spans="1:3" ht="13">
      <c r="A1126" s="432"/>
      <c r="B1126" s="528" t="s">
        <v>746</v>
      </c>
      <c r="C1126" s="485"/>
    </row>
    <row r="1127" spans="1:3" ht="13">
      <c r="A1127" s="432"/>
      <c r="B1127" s="620" t="s">
        <v>876</v>
      </c>
      <c r="C1127" s="618">
        <v>1</v>
      </c>
    </row>
    <row r="1128" spans="1:3" ht="13">
      <c r="A1128" s="432"/>
      <c r="B1128" s="620" t="s">
        <v>877</v>
      </c>
      <c r="C1128" s="618">
        <v>1</v>
      </c>
    </row>
    <row r="1129" spans="1:3" ht="13">
      <c r="A1129" s="432"/>
      <c r="B1129" s="620" t="s">
        <v>878</v>
      </c>
      <c r="C1129" s="618">
        <v>1</v>
      </c>
    </row>
    <row r="1130" spans="1:3" ht="13">
      <c r="A1130" s="432"/>
      <c r="B1130" s="620" t="s">
        <v>879</v>
      </c>
      <c r="C1130" s="618">
        <v>1</v>
      </c>
    </row>
    <row r="1131" spans="1:3" ht="13">
      <c r="A1131" s="432"/>
      <c r="B1131" s="620" t="s">
        <v>880</v>
      </c>
      <c r="C1131" s="618">
        <v>1</v>
      </c>
    </row>
    <row r="1132" spans="1:3" ht="13">
      <c r="A1132" s="432"/>
      <c r="B1132" s="620" t="s">
        <v>881</v>
      </c>
      <c r="C1132" s="618">
        <v>1</v>
      </c>
    </row>
    <row r="1133" spans="1:3" ht="13">
      <c r="A1133" s="432"/>
      <c r="B1133" s="620" t="s">
        <v>882</v>
      </c>
      <c r="C1133" s="618">
        <v>1</v>
      </c>
    </row>
    <row r="1134" spans="1:3" ht="13">
      <c r="A1134" s="432"/>
      <c r="B1134" s="567" t="s">
        <v>311</v>
      </c>
      <c r="C1134" s="619">
        <f>SUM(C1127:C1133)</f>
        <v>7</v>
      </c>
    </row>
    <row r="1136" spans="1:3" ht="26.25" customHeight="1">
      <c r="A1136" s="426" t="str">
        <f>medição!A136</f>
        <v>14.7</v>
      </c>
      <c r="B1136" s="438" t="str">
        <f>medição!B136</f>
        <v>BARRA DE APOIO RETA, EM ACO INOX POLIDO, COMPRIMENTO 70 CM, FIXADA NA PAREDE - FORNECIMENTO E INSTALAÇÃO. AF_01/2020</v>
      </c>
      <c r="C1136" s="440"/>
    </row>
    <row r="1137" spans="1:3" ht="13">
      <c r="A1137" s="350"/>
      <c r="B1137" s="345" t="s">
        <v>306</v>
      </c>
      <c r="C1137" s="485" t="s">
        <v>745</v>
      </c>
    </row>
    <row r="1138" spans="1:3" ht="13">
      <c r="A1138" s="432"/>
      <c r="B1138" s="528" t="s">
        <v>746</v>
      </c>
      <c r="C1138" s="485"/>
    </row>
    <row r="1139" spans="1:3" ht="13">
      <c r="A1139" s="432"/>
      <c r="B1139" s="620" t="s">
        <v>878</v>
      </c>
      <c r="C1139" s="618">
        <v>1</v>
      </c>
    </row>
    <row r="1140" spans="1:3" ht="13">
      <c r="A1140" s="432"/>
      <c r="B1140" s="620" t="s">
        <v>879</v>
      </c>
      <c r="C1140" s="618">
        <v>1</v>
      </c>
    </row>
    <row r="1141" spans="1:3" ht="13">
      <c r="A1141" s="432"/>
      <c r="B1141" s="620" t="s">
        <v>880</v>
      </c>
      <c r="C1141" s="618">
        <v>1</v>
      </c>
    </row>
    <row r="1142" spans="1:3" ht="13">
      <c r="A1142" s="432"/>
      <c r="B1142" s="620" t="s">
        <v>881</v>
      </c>
      <c r="C1142" s="618">
        <v>1</v>
      </c>
    </row>
    <row r="1143" spans="1:3" ht="13">
      <c r="A1143" s="432"/>
      <c r="B1143" s="620" t="s">
        <v>882</v>
      </c>
      <c r="C1143" s="618">
        <v>1</v>
      </c>
    </row>
    <row r="1144" spans="1:3" ht="13">
      <c r="A1144" s="432"/>
      <c r="B1144" s="567" t="s">
        <v>311</v>
      </c>
      <c r="C1144" s="619">
        <f>SUM(C1139:C1143)</f>
        <v>5</v>
      </c>
    </row>
    <row r="1146" spans="1:3" ht="13">
      <c r="A1146" s="426" t="str">
        <f>medição!A137</f>
        <v>14.8</v>
      </c>
      <c r="B1146" s="438" t="str">
        <f>medição!B137</f>
        <v>CHUVEIRO CROMADO</v>
      </c>
      <c r="C1146" s="440"/>
    </row>
    <row r="1147" spans="1:3" ht="13">
      <c r="A1147" s="350"/>
      <c r="B1147" s="345" t="s">
        <v>306</v>
      </c>
      <c r="C1147" s="485" t="s">
        <v>745</v>
      </c>
    </row>
    <row r="1148" spans="1:3" ht="13">
      <c r="A1148" s="432"/>
      <c r="B1148" s="528" t="s">
        <v>746</v>
      </c>
      <c r="C1148" s="485"/>
    </row>
    <row r="1149" spans="1:3" ht="13">
      <c r="A1149" s="432"/>
      <c r="B1149" s="620" t="s">
        <v>876</v>
      </c>
      <c r="C1149" s="618">
        <v>1</v>
      </c>
    </row>
    <row r="1150" spans="1:3" ht="13">
      <c r="A1150" s="432"/>
      <c r="B1150" s="620" t="s">
        <v>886</v>
      </c>
      <c r="C1150" s="618">
        <v>1</v>
      </c>
    </row>
    <row r="1151" spans="1:3" ht="13">
      <c r="A1151" s="432"/>
      <c r="B1151" s="620" t="s">
        <v>878</v>
      </c>
      <c r="C1151" s="618">
        <v>1</v>
      </c>
    </row>
    <row r="1152" spans="1:3" ht="13">
      <c r="A1152" s="432"/>
      <c r="B1152" s="620" t="s">
        <v>879</v>
      </c>
      <c r="C1152" s="618">
        <v>1</v>
      </c>
    </row>
    <row r="1153" spans="1:3" ht="13">
      <c r="A1153" s="432"/>
      <c r="B1153" s="620" t="s">
        <v>880</v>
      </c>
      <c r="C1153" s="618">
        <v>1</v>
      </c>
    </row>
    <row r="1154" spans="1:3" ht="13">
      <c r="A1154" s="432"/>
      <c r="B1154" s="620" t="s">
        <v>881</v>
      </c>
      <c r="C1154" s="618">
        <v>1</v>
      </c>
    </row>
    <row r="1155" spans="1:3" ht="13">
      <c r="A1155" s="432"/>
      <c r="B1155" s="567" t="s">
        <v>311</v>
      </c>
      <c r="C1155" s="619">
        <f>SUM(C1149:C1154)</f>
        <v>6</v>
      </c>
    </row>
    <row r="1157" spans="1:3" ht="13">
      <c r="A1157" s="426" t="str">
        <f>medição!A138</f>
        <v>14.9</v>
      </c>
      <c r="B1157" s="438" t="str">
        <f>medição!B138</f>
        <v>DUCHA HIGIÊNICA CROMADA</v>
      </c>
      <c r="C1157" s="440"/>
    </row>
    <row r="1158" spans="1:3" ht="13">
      <c r="A1158" s="350"/>
      <c r="B1158" s="345" t="s">
        <v>306</v>
      </c>
      <c r="C1158" s="485" t="s">
        <v>745</v>
      </c>
    </row>
    <row r="1159" spans="1:3" ht="13">
      <c r="A1159" s="432"/>
      <c r="B1159" s="528" t="s">
        <v>746</v>
      </c>
      <c r="C1159" s="485"/>
    </row>
    <row r="1160" spans="1:3" ht="13">
      <c r="A1160" s="432"/>
      <c r="B1160" s="620" t="s">
        <v>876</v>
      </c>
      <c r="C1160" s="618">
        <v>1</v>
      </c>
    </row>
    <row r="1161" spans="1:3" ht="13">
      <c r="A1161" s="432"/>
      <c r="B1161" s="620" t="s">
        <v>886</v>
      </c>
      <c r="C1161" s="618">
        <v>1</v>
      </c>
    </row>
    <row r="1162" spans="1:3" ht="13">
      <c r="A1162" s="432"/>
      <c r="B1162" s="620" t="s">
        <v>878</v>
      </c>
      <c r="C1162" s="618">
        <v>1</v>
      </c>
    </row>
    <row r="1163" spans="1:3" ht="13">
      <c r="A1163" s="432"/>
      <c r="B1163" s="620" t="s">
        <v>879</v>
      </c>
      <c r="C1163" s="618">
        <v>1</v>
      </c>
    </row>
    <row r="1164" spans="1:3" ht="13">
      <c r="A1164" s="432"/>
      <c r="B1164" s="620" t="s">
        <v>880</v>
      </c>
      <c r="C1164" s="618">
        <v>1</v>
      </c>
    </row>
    <row r="1165" spans="1:3" ht="13">
      <c r="A1165" s="432"/>
      <c r="B1165" s="620" t="s">
        <v>881</v>
      </c>
      <c r="C1165" s="618">
        <v>1</v>
      </c>
    </row>
    <row r="1166" spans="1:3" ht="13">
      <c r="A1166" s="432"/>
      <c r="B1166" s="620" t="s">
        <v>882</v>
      </c>
      <c r="C1166" s="618">
        <v>1</v>
      </c>
    </row>
    <row r="1167" spans="1:3" ht="13">
      <c r="A1167" s="432"/>
      <c r="B1167" s="567" t="s">
        <v>311</v>
      </c>
      <c r="C1167" s="619">
        <f>SUM(C1160:C1166)</f>
        <v>7</v>
      </c>
    </row>
    <row r="1169" spans="1:3" ht="24" customHeight="1">
      <c r="A1169" s="426" t="str">
        <f>medição!A139</f>
        <v>14.10</v>
      </c>
      <c r="B1169" s="438" t="str">
        <f>medição!B139</f>
        <v>TORNEIRA CROMADA DE MESA, 1/2 OU 3/4, PARA LAVATÓRIO, PADRÃO MÉDIO - FORNECIMENTO E INSTALAÇÃO. AF_01/2020</v>
      </c>
      <c r="C1169" s="440"/>
    </row>
    <row r="1170" spans="1:3" ht="13">
      <c r="A1170" s="350"/>
      <c r="B1170" s="345" t="s">
        <v>306</v>
      </c>
      <c r="C1170" s="485" t="s">
        <v>745</v>
      </c>
    </row>
    <row r="1171" spans="1:3" ht="13">
      <c r="A1171" s="432"/>
      <c r="B1171" s="528" t="s">
        <v>746</v>
      </c>
      <c r="C1171" s="485"/>
    </row>
    <row r="1172" spans="1:3" ht="13">
      <c r="A1172" s="432"/>
      <c r="B1172" s="620" t="s">
        <v>876</v>
      </c>
      <c r="C1172" s="618">
        <v>1</v>
      </c>
    </row>
    <row r="1173" spans="1:3" ht="13">
      <c r="A1173" s="432"/>
      <c r="B1173" s="620" t="s">
        <v>886</v>
      </c>
      <c r="C1173" s="618">
        <v>1</v>
      </c>
    </row>
    <row r="1174" spans="1:3" ht="13">
      <c r="A1174" s="432"/>
      <c r="B1174" s="620" t="s">
        <v>878</v>
      </c>
      <c r="C1174" s="618">
        <v>1</v>
      </c>
    </row>
    <row r="1175" spans="1:3" ht="13">
      <c r="A1175" s="432"/>
      <c r="B1175" s="620" t="s">
        <v>879</v>
      </c>
      <c r="C1175" s="618">
        <v>1</v>
      </c>
    </row>
    <row r="1176" spans="1:3" ht="13">
      <c r="A1176" s="432"/>
      <c r="B1176" s="620" t="s">
        <v>880</v>
      </c>
      <c r="C1176" s="618">
        <v>1</v>
      </c>
    </row>
    <row r="1177" spans="1:3" ht="13">
      <c r="A1177" s="432"/>
      <c r="B1177" s="620" t="s">
        <v>881</v>
      </c>
      <c r="C1177" s="618">
        <v>1</v>
      </c>
    </row>
    <row r="1178" spans="1:3" ht="13">
      <c r="A1178" s="432"/>
      <c r="B1178" s="620" t="s">
        <v>882</v>
      </c>
      <c r="C1178" s="618">
        <v>1</v>
      </c>
    </row>
    <row r="1179" spans="1:3" ht="13">
      <c r="A1179" s="432"/>
      <c r="B1179" s="620" t="s">
        <v>883</v>
      </c>
      <c r="C1179" s="621">
        <v>1</v>
      </c>
    </row>
    <row r="1180" spans="1:3" ht="13">
      <c r="A1180" s="432"/>
      <c r="B1180" s="620" t="s">
        <v>884</v>
      </c>
      <c r="C1180" s="621">
        <v>1</v>
      </c>
    </row>
    <row r="1181" spans="1:3" ht="13">
      <c r="A1181" s="432"/>
      <c r="B1181" s="620" t="s">
        <v>802</v>
      </c>
      <c r="C1181" s="621">
        <v>2</v>
      </c>
    </row>
    <row r="1182" spans="1:3" ht="13">
      <c r="A1182" s="432"/>
      <c r="B1182" s="567" t="s">
        <v>311</v>
      </c>
      <c r="C1182" s="619">
        <f>SUM(C1172:C1181)</f>
        <v>11</v>
      </c>
    </row>
    <row r="1184" spans="1:3" ht="13">
      <c r="A1184" s="426" t="str">
        <f>medição!A140</f>
        <v>14.11</v>
      </c>
      <c r="B1184" s="438" t="str">
        <f>medição!B140</f>
        <v>Pia 01 cuba em aço inox c/torn.,sifao e valv.(1,50m)</v>
      </c>
      <c r="C1184" s="440"/>
    </row>
    <row r="1185" spans="1:3" ht="13">
      <c r="A1185" s="350"/>
      <c r="B1185" s="345" t="s">
        <v>306</v>
      </c>
      <c r="C1185" s="485" t="s">
        <v>745</v>
      </c>
    </row>
    <row r="1186" spans="1:3" ht="13">
      <c r="A1186" s="432"/>
      <c r="B1186" s="528" t="s">
        <v>746</v>
      </c>
      <c r="C1186" s="485"/>
    </row>
    <row r="1187" spans="1:3" ht="13">
      <c r="A1187" s="432"/>
      <c r="B1187" s="620" t="s">
        <v>780</v>
      </c>
      <c r="C1187" s="618">
        <v>1</v>
      </c>
    </row>
    <row r="1188" spans="1:3" ht="13">
      <c r="A1188" s="432"/>
      <c r="B1188" s="620" t="s">
        <v>887</v>
      </c>
      <c r="C1188" s="621">
        <v>1</v>
      </c>
    </row>
    <row r="1189" spans="1:3" ht="13">
      <c r="A1189" s="432"/>
      <c r="B1189" s="567" t="s">
        <v>311</v>
      </c>
      <c r="C1189" s="619">
        <f>SUM(C1187:C1188)</f>
        <v>2</v>
      </c>
    </row>
    <row r="1191" spans="1:3" ht="13">
      <c r="A1191" s="426" t="str">
        <f>medição!A141</f>
        <v>14.12</v>
      </c>
      <c r="B1191" s="438" t="str">
        <f>medição!B141</f>
        <v>Pia 02 cubas em aço inox.c/torn.,sifoes e valv.(2.0m)</v>
      </c>
      <c r="C1191" s="440"/>
    </row>
    <row r="1192" spans="1:3" ht="13">
      <c r="A1192" s="350"/>
      <c r="B1192" s="345" t="s">
        <v>306</v>
      </c>
      <c r="C1192" s="485" t="s">
        <v>745</v>
      </c>
    </row>
    <row r="1193" spans="1:3" ht="13">
      <c r="A1193" s="432"/>
      <c r="B1193" s="528" t="s">
        <v>746</v>
      </c>
      <c r="C1193" s="485"/>
    </row>
    <row r="1194" spans="1:3" ht="13">
      <c r="A1194" s="432"/>
      <c r="B1194" s="620" t="s">
        <v>802</v>
      </c>
      <c r="C1194" s="618">
        <v>1</v>
      </c>
    </row>
    <row r="1195" spans="1:3" ht="13">
      <c r="A1195" s="432"/>
      <c r="B1195" s="567" t="s">
        <v>311</v>
      </c>
      <c r="C1195" s="619">
        <f>SUM(C1194:C1194)</f>
        <v>1</v>
      </c>
    </row>
    <row r="1196" spans="1:3" ht="13">
      <c r="A1196" s="594"/>
      <c r="B1196" s="595"/>
      <c r="C1196" s="616"/>
    </row>
    <row r="1197" spans="1:10" ht="13">
      <c r="A1197" s="426" t="str">
        <f>medição!A143</f>
        <v>15.0</v>
      </c>
      <c r="B1197" s="430" t="str">
        <f>medição!B143</f>
        <v>URBANIZAÇÃO</v>
      </c>
      <c r="C1197" s="430"/>
      <c r="D1197" s="430"/>
      <c r="E1197" s="430"/>
      <c r="F1197" s="430"/>
      <c r="G1197" s="430"/>
      <c r="H1197" s="430"/>
      <c r="I1197" s="430"/>
      <c r="J1197" s="430"/>
    </row>
    <row r="1198" spans="1:3" ht="13">
      <c r="A1198" s="594"/>
      <c r="C1198" s="616"/>
    </row>
    <row r="1199" spans="1:3" ht="13">
      <c r="A1199" s="426" t="str">
        <f>medição!A144</f>
        <v>15.2</v>
      </c>
      <c r="B1199" s="438" t="str">
        <f>medição!B144</f>
        <v>ASSENTAMENTO DE GUIA (MEIO-FIO) EM TRECHO CURVO, CONFECCIONADA EM CONCRETO PRÉ-FABRICADO, DIMENSÕES 100X15X13X20 CM (COMPRIMENTO X BASE INFERIOR X BASE SUPERIOR X ALTURA), PARA URBANIZAÇÃO INTERNA DE EMPREENDIMENTOS. AF_06/2016</v>
      </c>
      <c r="C1199" s="440"/>
    </row>
    <row r="1200" spans="1:3" ht="13">
      <c r="A1200" s="432"/>
      <c r="B1200" s="345" t="s">
        <v>306</v>
      </c>
      <c r="C1200" s="345" t="s">
        <v>833</v>
      </c>
    </row>
    <row r="1201" spans="1:3" ht="13">
      <c r="A1201" s="432"/>
      <c r="B1201" s="354" t="s">
        <v>888</v>
      </c>
      <c r="C1201" s="489">
        <f>10.14+9+7.6+7.83+3.63+1.57+7.83+7.6</f>
        <v>55.20</v>
      </c>
    </row>
    <row r="1202" spans="1:3" ht="13">
      <c r="A1202" s="432"/>
      <c r="B1202" s="567" t="s">
        <v>311</v>
      </c>
      <c r="C1202" s="612">
        <f>SUM(C1201:C1201)</f>
        <v>55.20</v>
      </c>
    </row>
    <row r="1203" spans="1:1" ht="13">
      <c r="A1203" s="418"/>
    </row>
    <row r="1204" spans="1:3" ht="13">
      <c r="A1204" s="426" t="str">
        <f>medição!A145</f>
        <v>15.3</v>
      </c>
      <c r="B1204" s="438" t="str">
        <f>medição!B145</f>
        <v>PLACA PISO TATIL DIRECIONAL 25x25cm AZUL/AMARELO/PRETO</v>
      </c>
      <c r="C1204" s="440"/>
    </row>
    <row r="1205" spans="1:3" ht="13">
      <c r="A1205" s="432"/>
      <c r="B1205" s="345" t="s">
        <v>306</v>
      </c>
      <c r="C1205" s="345" t="s">
        <v>745</v>
      </c>
    </row>
    <row r="1206" spans="1:3" ht="13">
      <c r="A1206" s="432"/>
      <c r="B1206" s="354" t="s">
        <v>888</v>
      </c>
      <c r="C1206" s="622">
        <v>112</v>
      </c>
    </row>
    <row r="1207" spans="1:3" ht="13">
      <c r="A1207" s="432"/>
      <c r="B1207" s="567" t="s">
        <v>311</v>
      </c>
      <c r="C1207" s="619">
        <f>SUM(C1206:C1206)</f>
        <v>112</v>
      </c>
    </row>
    <row r="1208" spans="1:1" ht="13">
      <c r="A1208" s="418"/>
    </row>
    <row r="1209" spans="1:3" ht="13">
      <c r="A1209" s="426" t="str">
        <f>medição!A146</f>
        <v>15.4</v>
      </c>
      <c r="B1209" s="438" t="str">
        <f>medição!B146</f>
        <v>PLACA PISO TATIL ALERTA 25x25 AZUL</v>
      </c>
      <c r="C1209" s="440"/>
    </row>
    <row r="1210" spans="1:3" ht="13">
      <c r="A1210" s="432"/>
      <c r="B1210" s="345" t="s">
        <v>306</v>
      </c>
      <c r="C1210" s="345" t="s">
        <v>779</v>
      </c>
    </row>
    <row r="1211" spans="1:3" ht="13">
      <c r="A1211" s="432"/>
      <c r="B1211" s="354" t="s">
        <v>888</v>
      </c>
      <c r="C1211" s="622">
        <v>30</v>
      </c>
    </row>
    <row r="1212" spans="1:3" ht="13">
      <c r="A1212" s="432"/>
      <c r="B1212" s="567" t="s">
        <v>311</v>
      </c>
      <c r="C1212" s="619">
        <f>SUM(C1211:C1211)</f>
        <v>30</v>
      </c>
    </row>
    <row r="1213" spans="1:1" ht="13">
      <c r="A1213" s="418"/>
    </row>
    <row r="1214" spans="1:10" ht="13">
      <c r="A1214" s="426" t="str">
        <f>medição!A148</f>
        <v>16.0</v>
      </c>
      <c r="B1214" s="430" t="str">
        <f>medição!B148</f>
        <v>PREVENÇÃO E COMBATE A  INCÊNDIO</v>
      </c>
      <c r="C1214" s="430"/>
      <c r="D1214" s="430"/>
      <c r="E1214" s="430"/>
      <c r="F1214" s="430"/>
      <c r="G1214" s="430"/>
      <c r="H1214" s="430"/>
      <c r="I1214" s="430"/>
      <c r="J1214" s="430"/>
    </row>
    <row r="1216" spans="1:3" ht="13">
      <c r="A1216" s="426" t="str">
        <f>medição!A149</f>
        <v>16.1</v>
      </c>
      <c r="B1216" s="438" t="str">
        <f>medição!B149</f>
        <v>Extintor de incêndio ABC - 6Kg</v>
      </c>
      <c r="C1216" s="440"/>
    </row>
    <row r="1217" spans="1:3" ht="13">
      <c r="A1217" s="350"/>
      <c r="B1217" s="345" t="s">
        <v>306</v>
      </c>
      <c r="C1217" s="485" t="s">
        <v>745</v>
      </c>
    </row>
    <row r="1218" spans="1:3" ht="13">
      <c r="A1218" s="432"/>
      <c r="B1218" s="528" t="s">
        <v>746</v>
      </c>
      <c r="C1218" s="485"/>
    </row>
    <row r="1219" spans="1:3" ht="13">
      <c r="A1219" s="432"/>
      <c r="B1219" s="623" t="s">
        <v>889</v>
      </c>
      <c r="C1219" s="618">
        <v>2</v>
      </c>
    </row>
    <row r="1220" spans="1:3" ht="13">
      <c r="A1220" s="432"/>
      <c r="B1220" s="567" t="s">
        <v>311</v>
      </c>
      <c r="C1220" s="619">
        <f>SUM(C1219)</f>
        <v>2</v>
      </c>
    </row>
    <row r="1222" spans="1:3" ht="13">
      <c r="A1222" s="426" t="str">
        <f>medição!A150</f>
        <v>16.2</v>
      </c>
      <c r="B1222" s="438" t="str">
        <f>medição!B150</f>
        <v>Placa de sinalização fotoluminoscente</v>
      </c>
      <c r="C1222" s="440"/>
    </row>
    <row r="1223" spans="1:3" ht="13">
      <c r="A1223" s="350"/>
      <c r="B1223" s="345" t="s">
        <v>306</v>
      </c>
      <c r="C1223" s="485" t="s">
        <v>745</v>
      </c>
    </row>
    <row r="1224" spans="1:3" ht="13">
      <c r="A1224" s="432"/>
      <c r="B1224" s="528" t="s">
        <v>746</v>
      </c>
      <c r="C1224" s="485"/>
    </row>
    <row r="1225" spans="1:3" ht="13">
      <c r="A1225" s="432"/>
      <c r="B1225" s="623" t="s">
        <v>890</v>
      </c>
      <c r="C1225" s="618">
        <v>1</v>
      </c>
    </row>
    <row r="1226" spans="1:3" ht="13">
      <c r="A1226" s="432"/>
      <c r="B1226" s="623" t="s">
        <v>891</v>
      </c>
      <c r="C1226" s="618">
        <v>2</v>
      </c>
    </row>
    <row r="1227" spans="1:3" ht="13">
      <c r="A1227" s="432"/>
      <c r="B1227" s="623" t="s">
        <v>892</v>
      </c>
      <c r="C1227" s="618">
        <v>2</v>
      </c>
    </row>
    <row r="1228" spans="1:3" ht="13">
      <c r="A1228" s="432"/>
      <c r="B1228" s="623" t="s">
        <v>893</v>
      </c>
      <c r="C1228" s="618">
        <v>6</v>
      </c>
    </row>
    <row r="1229" spans="1:3" ht="13">
      <c r="A1229" s="432"/>
      <c r="B1229" s="623" t="s">
        <v>894</v>
      </c>
      <c r="C1229" s="618">
        <v>2</v>
      </c>
    </row>
    <row r="1230" spans="1:3" ht="13">
      <c r="A1230" s="432"/>
      <c r="B1230" s="567" t="s">
        <v>311</v>
      </c>
      <c r="C1230" s="619">
        <f>SUM(C1225:C1229)</f>
        <v>13</v>
      </c>
    </row>
    <row r="1232" spans="1:10" ht="13">
      <c r="A1232" s="426" t="str">
        <f>medição!A152</f>
        <v>17.0</v>
      </c>
      <c r="B1232" s="430" t="str">
        <f>medição!B152</f>
        <v>PINTURA</v>
      </c>
      <c r="C1232" s="430"/>
      <c r="D1232" s="430"/>
      <c r="E1232" s="430"/>
      <c r="F1232" s="430"/>
      <c r="G1232" s="430"/>
      <c r="H1232" s="430"/>
      <c r="I1232" s="430"/>
      <c r="J1232" s="430"/>
    </row>
    <row r="1234" spans="1:6" ht="13">
      <c r="A1234" s="624" t="str">
        <f>medição!A153</f>
        <v>17.1</v>
      </c>
      <c r="B1234" s="625" t="str">
        <f>medição!B153</f>
        <v>APLICAÇÃO DE FUNDO SELADOR ACRÍLICO EM PAREDES, UMA DEMÃO. AF_06/2014</v>
      </c>
      <c r="C1234" s="626"/>
      <c r="D1234" s="626"/>
      <c r="E1234" s="626"/>
      <c r="F1234" s="627"/>
    </row>
    <row r="1235" spans="1:6" ht="13">
      <c r="A1235" s="432"/>
      <c r="B1235" s="345" t="s">
        <v>306</v>
      </c>
      <c r="C1235" s="345" t="s">
        <v>741</v>
      </c>
      <c r="D1235" s="345" t="s">
        <v>740</v>
      </c>
      <c r="E1235" s="364" t="s">
        <v>835</v>
      </c>
      <c r="F1235" s="364" t="s">
        <v>309</v>
      </c>
    </row>
    <row r="1236" spans="1:6" ht="13">
      <c r="A1236" s="432"/>
      <c r="B1236" s="528" t="s">
        <v>746</v>
      </c>
      <c r="C1236" s="345"/>
      <c r="D1236" s="345"/>
      <c r="E1236" s="364"/>
      <c r="F1236" s="364"/>
    </row>
    <row r="1237" spans="1:6" ht="13">
      <c r="A1237" s="432"/>
      <c r="B1237" s="354" t="s">
        <v>780</v>
      </c>
      <c r="C1237" s="434">
        <f>9+4.86</f>
        <v>13.86</v>
      </c>
      <c r="D1237" s="434">
        <v>3</v>
      </c>
      <c r="E1237" s="566">
        <f>(1*0.6)+(0.8*2.1)</f>
        <v>2.2799999999999998</v>
      </c>
      <c r="F1237" s="566">
        <f>((C1237*D1237)-E1237)</f>
        <v>39.299999999999997</v>
      </c>
    </row>
    <row r="1238" spans="1:6" ht="13">
      <c r="A1238" s="432"/>
      <c r="B1238" s="354" t="s">
        <v>781</v>
      </c>
      <c r="C1238" s="434">
        <f>10+3.1</f>
        <v>13.10</v>
      </c>
      <c r="D1238" s="434">
        <v>3</v>
      </c>
      <c r="E1238" s="566">
        <f>((0.8*2.1))+(0.6*0.6)+(0.9*2.1)</f>
        <v>3.93</v>
      </c>
      <c r="F1238" s="566">
        <f>((C1238*D1238)-E1238)</f>
        <v>35.369999999999997</v>
      </c>
    </row>
    <row r="1239" spans="1:6" ht="13">
      <c r="A1239" s="432"/>
      <c r="B1239" s="354" t="s">
        <v>782</v>
      </c>
      <c r="C1239" s="434">
        <f>11.04+2.64</f>
        <v>13.68</v>
      </c>
      <c r="D1239" s="434">
        <v>3</v>
      </c>
      <c r="E1239" s="566">
        <f>(2.1*0.8)+(0.6*0.6)</f>
        <v>2.04</v>
      </c>
      <c r="F1239" s="566">
        <f>((C1239*D1239)-E1239)</f>
        <v>39</v>
      </c>
    </row>
    <row r="1240" spans="1:6" ht="13">
      <c r="A1240" s="432"/>
      <c r="B1240" s="354" t="s">
        <v>783</v>
      </c>
      <c r="C1240" s="434">
        <f>8.4+1.32</f>
        <v>9.7200000000000006</v>
      </c>
      <c r="D1240" s="434">
        <v>3</v>
      </c>
      <c r="E1240" s="566">
        <f>(2.1*0.8)+(0.6*0.6)</f>
        <v>2.04</v>
      </c>
      <c r="F1240" s="566">
        <f>((C1240*D1240)-E1240)</f>
        <v>27.12</v>
      </c>
    </row>
    <row r="1241" spans="1:6" ht="13">
      <c r="A1241" s="432"/>
      <c r="B1241" s="354" t="s">
        <v>784</v>
      </c>
      <c r="C1241" s="434">
        <f>8.04+1.4</f>
        <v>9.44</v>
      </c>
      <c r="D1241" s="434">
        <v>3</v>
      </c>
      <c r="E1241" s="566">
        <f>(0.6*0.6)+(0.8*2.1)</f>
        <v>2.04</v>
      </c>
      <c r="F1241" s="566">
        <f>((C1241*D1241)-E1241)</f>
        <v>26.28</v>
      </c>
    </row>
    <row r="1242" spans="1:6" ht="13">
      <c r="A1242" s="432"/>
      <c r="B1242" s="354" t="s">
        <v>785</v>
      </c>
      <c r="C1242" s="434">
        <f>8.3+1.27</f>
        <v>9.57</v>
      </c>
      <c r="D1242" s="434">
        <v>3</v>
      </c>
      <c r="E1242" s="566">
        <f>(0.6*0.6)+(0.8*2.1)</f>
        <v>2.04</v>
      </c>
      <c r="F1242" s="566">
        <f t="shared" si="37" ref="F1242:F1243">((C1242*D1242)-E1242)</f>
        <v>26.67</v>
      </c>
    </row>
    <row r="1243" spans="1:6" ht="13">
      <c r="A1243" s="432"/>
      <c r="B1243" s="354" t="s">
        <v>786</v>
      </c>
      <c r="C1243" s="434">
        <f>8.3+1.27</f>
        <v>9.57</v>
      </c>
      <c r="D1243" s="434">
        <v>3</v>
      </c>
      <c r="E1243" s="566">
        <f>(0.6*0.6)+(0.8*2.1)</f>
        <v>2.04</v>
      </c>
      <c r="F1243" s="566">
        <f t="shared" si="37"/>
        <v>26.67</v>
      </c>
    </row>
    <row r="1244" spans="1:6" ht="13">
      <c r="A1244" s="432"/>
      <c r="B1244" s="354" t="s">
        <v>787</v>
      </c>
      <c r="C1244" s="434">
        <f>19.4+13.28</f>
        <v>32.68</v>
      </c>
      <c r="D1244" s="434">
        <v>3</v>
      </c>
      <c r="E1244" s="566">
        <f>(2.1*0.8)+(1.2*1)*3</f>
        <v>5.28</v>
      </c>
      <c r="F1244" s="566">
        <f>((C1244*D1244)-E1244)</f>
        <v>92.76</v>
      </c>
    </row>
    <row r="1245" spans="1:6" ht="13">
      <c r="A1245" s="432"/>
      <c r="B1245" s="354" t="s">
        <v>788</v>
      </c>
      <c r="C1245" s="434">
        <v>25.02</v>
      </c>
      <c r="D1245" s="434">
        <v>3</v>
      </c>
      <c r="E1245" s="566">
        <f>(0.8*2.1*8)+(0.82*1.8)</f>
        <v>14.92</v>
      </c>
      <c r="F1245" s="566">
        <f>((C1245*D1245)-E1245)</f>
        <v>60.14</v>
      </c>
    </row>
    <row r="1246" spans="1:6" ht="13">
      <c r="A1246" s="432"/>
      <c r="B1246" s="354" t="s">
        <v>789</v>
      </c>
      <c r="C1246" s="434">
        <f>17+4.74</f>
        <v>21.74</v>
      </c>
      <c r="D1246" s="434">
        <v>3</v>
      </c>
      <c r="E1246" s="566">
        <f>(0.8*2.1*2)+(1.2*1*2)</f>
        <v>5.76</v>
      </c>
      <c r="F1246" s="566">
        <f>((C1246*D1246)-E1246)</f>
        <v>59.46</v>
      </c>
    </row>
    <row r="1247" spans="1:6" ht="13">
      <c r="A1247" s="432"/>
      <c r="B1247" s="354" t="s">
        <v>790</v>
      </c>
      <c r="C1247" s="434">
        <f>10.4+1.32+2.19</f>
        <v>13.91</v>
      </c>
      <c r="D1247" s="434">
        <v>3</v>
      </c>
      <c r="E1247" s="566">
        <f>(0.8*2.1)+(0.6*0.6)</f>
        <v>2.04</v>
      </c>
      <c r="F1247" s="566">
        <f t="shared" si="38" ref="F1247">((C1247*D1247)-E1247)</f>
        <v>39.69</v>
      </c>
    </row>
    <row r="1248" spans="1:6" ht="13">
      <c r="A1248" s="432"/>
      <c r="B1248" s="354" t="s">
        <v>791</v>
      </c>
      <c r="C1248" s="434">
        <f>7.18+1.9+1.5</f>
        <v>10.58</v>
      </c>
      <c r="D1248" s="434">
        <v>3</v>
      </c>
      <c r="E1248" s="566">
        <f>(0.9*2.1)+(0.6*0.6)</f>
        <v>2.25</v>
      </c>
      <c r="F1248" s="566">
        <f>((C1248*D1248)-E1248)</f>
        <v>29.49</v>
      </c>
    </row>
    <row r="1249" spans="1:6" ht="13">
      <c r="A1249" s="432"/>
      <c r="B1249" s="354" t="s">
        <v>792</v>
      </c>
      <c r="C1249" s="434">
        <f>7.18+1.9+1.5</f>
        <v>10.58</v>
      </c>
      <c r="D1249" s="434">
        <v>3</v>
      </c>
      <c r="E1249" s="566">
        <f>(0.9*2.1)+(0.6*0.6)</f>
        <v>2.25</v>
      </c>
      <c r="F1249" s="566">
        <f>((C1249*D1249)-E1249)</f>
        <v>29.49</v>
      </c>
    </row>
    <row r="1250" spans="1:6" ht="13">
      <c r="A1250" s="432"/>
      <c r="B1250" s="354" t="s">
        <v>793</v>
      </c>
      <c r="C1250" s="434">
        <f>8.4+1.16+0.95</f>
        <v>10.51</v>
      </c>
      <c r="D1250" s="434">
        <v>3</v>
      </c>
      <c r="E1250" s="566">
        <f>(0.8*2.1)+(0.6*0.6)</f>
        <v>2.04</v>
      </c>
      <c r="F1250" s="566">
        <f>((C1250*D1250)-E1250)</f>
        <v>29.49</v>
      </c>
    </row>
    <row r="1251" spans="1:6" ht="13">
      <c r="A1251" s="432"/>
      <c r="B1251" s="354" t="s">
        <v>794</v>
      </c>
      <c r="C1251" s="434">
        <f>8.4+1.16+0.95</f>
        <v>10.51</v>
      </c>
      <c r="D1251" s="434">
        <v>3</v>
      </c>
      <c r="E1251" s="566">
        <f>(0.8*2.1)+(0.6*0.6)</f>
        <v>2.04</v>
      </c>
      <c r="F1251" s="566">
        <f t="shared" si="39" ref="F1251">((C1251*D1251)-E1251)</f>
        <v>29.49</v>
      </c>
    </row>
    <row r="1252" spans="1:6" ht="13">
      <c r="A1252" s="432"/>
      <c r="B1252" s="354" t="s">
        <v>795</v>
      </c>
      <c r="C1252" s="434">
        <f>3.88+0.2+0.92</f>
        <v>5</v>
      </c>
      <c r="D1252" s="434">
        <v>0.80</v>
      </c>
      <c r="E1252" s="566">
        <f>0</f>
        <v>0</v>
      </c>
      <c r="F1252" s="566">
        <f>((C1252*D1252)-E1252)</f>
        <v>4</v>
      </c>
    </row>
    <row r="1253" spans="1:6" ht="13">
      <c r="A1253" s="432"/>
      <c r="B1253" s="354" t="s">
        <v>796</v>
      </c>
      <c r="C1253" s="434">
        <f>12.5+2.19+2.37</f>
        <v>17.06</v>
      </c>
      <c r="D1253" s="434">
        <v>3</v>
      </c>
      <c r="E1253" s="566">
        <f>(0.8*2.1)+(1.2*1)+(0.9*2.1)</f>
        <v>4.7699999999999996</v>
      </c>
      <c r="F1253" s="566">
        <f>((C1253*D1253)-E1253)</f>
        <v>46.41</v>
      </c>
    </row>
    <row r="1254" spans="1:6" ht="13">
      <c r="A1254" s="432"/>
      <c r="B1254" s="354" t="s">
        <v>797</v>
      </c>
      <c r="C1254" s="434">
        <f>7.5+2.37</f>
        <v>9.8699999999999992</v>
      </c>
      <c r="D1254" s="434">
        <v>3</v>
      </c>
      <c r="E1254" s="566">
        <f>(0.9*2.1)+(0.6*0.6)</f>
        <v>2.25</v>
      </c>
      <c r="F1254" s="566">
        <f>((C1254*D1254)-E1254)</f>
        <v>27.36</v>
      </c>
    </row>
    <row r="1255" spans="1:6" ht="13">
      <c r="A1255" s="432"/>
      <c r="B1255" s="354" t="s">
        <v>798</v>
      </c>
      <c r="C1255" s="434">
        <f>15.33+1.4</f>
        <v>16.73</v>
      </c>
      <c r="D1255" s="434">
        <v>3</v>
      </c>
      <c r="E1255" s="566">
        <f>(0.8*2.1)+(0.6*0.6)</f>
        <v>2.04</v>
      </c>
      <c r="F1255" s="566">
        <f t="shared" si="40" ref="F1255:F1265">((C1255*D1255)-E1255)</f>
        <v>48.15</v>
      </c>
    </row>
    <row r="1256" spans="1:6" ht="13">
      <c r="A1256" s="432"/>
      <c r="B1256" s="354" t="s">
        <v>799</v>
      </c>
      <c r="C1256" s="434">
        <f>20.04+10.38</f>
        <v>30.42</v>
      </c>
      <c r="D1256" s="434">
        <v>3</v>
      </c>
      <c r="E1256" s="566">
        <f>(0.8*2.1)+(1.2*1*2)+(1*0.6)</f>
        <v>4.68</v>
      </c>
      <c r="F1256" s="566">
        <f t="shared" si="40"/>
        <v>86.58</v>
      </c>
    </row>
    <row r="1257" spans="1:6" ht="13">
      <c r="A1257" s="432"/>
      <c r="B1257" s="354" t="s">
        <v>837</v>
      </c>
      <c r="C1257" s="434">
        <f>2.12*2</f>
        <v>4.24</v>
      </c>
      <c r="D1257" s="434">
        <v>1</v>
      </c>
      <c r="E1257" s="566">
        <v>0</v>
      </c>
      <c r="F1257" s="566">
        <f t="shared" si="40"/>
        <v>4.24</v>
      </c>
    </row>
    <row r="1258" spans="1:6" ht="13">
      <c r="A1258" s="432"/>
      <c r="B1258" s="354" t="s">
        <v>809</v>
      </c>
      <c r="C1258" s="434">
        <f>7.56+6.06</f>
        <v>13.62</v>
      </c>
      <c r="D1258" s="434">
        <v>3</v>
      </c>
      <c r="E1258" s="566">
        <f>(0.8*2.1*2)+(1*0.8)+(1.6*2.1)</f>
        <v>7.52</v>
      </c>
      <c r="F1258" s="566">
        <f t="shared" si="40"/>
        <v>33.340000000000003</v>
      </c>
    </row>
    <row r="1259" spans="1:6" ht="13">
      <c r="A1259" s="432"/>
      <c r="B1259" s="354" t="s">
        <v>810</v>
      </c>
      <c r="C1259" s="434">
        <f>27.38+3</f>
        <v>30.38</v>
      </c>
      <c r="D1259" s="434">
        <v>3</v>
      </c>
      <c r="E1259" s="566">
        <f>(0.8*2.1*7)+(1.5*1.8)</f>
        <v>14.46</v>
      </c>
      <c r="F1259" s="566">
        <f t="shared" si="40"/>
        <v>76.680000000000007</v>
      </c>
    </row>
    <row r="1260" spans="1:6" ht="13">
      <c r="A1260" s="432"/>
      <c r="B1260" s="354" t="s">
        <v>800</v>
      </c>
      <c r="C1260" s="434">
        <f>12.04+6.5</f>
        <v>18.54</v>
      </c>
      <c r="D1260" s="434">
        <v>3</v>
      </c>
      <c r="E1260" s="566">
        <f>(0.8*2.1)+(1*1.2)</f>
        <v>2.88</v>
      </c>
      <c r="F1260" s="566">
        <f t="shared" si="40"/>
        <v>52.74</v>
      </c>
    </row>
    <row r="1261" spans="1:6" ht="13">
      <c r="A1261" s="432"/>
      <c r="B1261" s="354" t="s">
        <v>801</v>
      </c>
      <c r="C1261" s="434">
        <f>12.04+2.88</f>
        <v>14.92</v>
      </c>
      <c r="D1261" s="434">
        <v>3</v>
      </c>
      <c r="E1261" s="566">
        <f>(0.8*2.1)+(1.2*1)</f>
        <v>2.88</v>
      </c>
      <c r="F1261" s="566">
        <f t="shared" si="40"/>
        <v>41.88</v>
      </c>
    </row>
    <row r="1262" spans="1:6" ht="13">
      <c r="A1262" s="432"/>
      <c r="B1262" s="354" t="s">
        <v>802</v>
      </c>
      <c r="C1262" s="434">
        <f>12.04+2.88</f>
        <v>14.92</v>
      </c>
      <c r="D1262" s="434">
        <v>3</v>
      </c>
      <c r="E1262" s="566">
        <f>(1.2*1)+(2.1*0.8)</f>
        <v>2.88</v>
      </c>
      <c r="F1262" s="566">
        <f t="shared" si="40"/>
        <v>41.88</v>
      </c>
    </row>
    <row r="1263" spans="1:6" ht="13">
      <c r="A1263" s="432"/>
      <c r="B1263" s="354" t="s">
        <v>803</v>
      </c>
      <c r="C1263" s="434">
        <f>12.04+2.88</f>
        <v>14.92</v>
      </c>
      <c r="D1263" s="434">
        <v>3</v>
      </c>
      <c r="E1263" s="566">
        <f>(0.8*2.1)+(1*1.2)</f>
        <v>2.88</v>
      </c>
      <c r="F1263" s="566">
        <f t="shared" si="40"/>
        <v>41.88</v>
      </c>
    </row>
    <row r="1264" spans="1:6" ht="13">
      <c r="A1264" s="432"/>
      <c r="B1264" s="354" t="s">
        <v>804</v>
      </c>
      <c r="C1264" s="434">
        <f>10.42+1.95</f>
        <v>12.37</v>
      </c>
      <c r="D1264" s="434">
        <v>3</v>
      </c>
      <c r="E1264" s="566">
        <f>(0.8*2.1)+(1*1.2)</f>
        <v>2.88</v>
      </c>
      <c r="F1264" s="566">
        <f t="shared" si="40"/>
        <v>34.229999999999997</v>
      </c>
    </row>
    <row r="1265" spans="1:6" ht="13">
      <c r="A1265" s="432"/>
      <c r="B1265" s="354" t="s">
        <v>805</v>
      </c>
      <c r="C1265" s="434">
        <f>12.56+6.04</f>
        <v>18.60</v>
      </c>
      <c r="D1265" s="434">
        <v>3</v>
      </c>
      <c r="E1265" s="566">
        <f>(2*2.1*2)</f>
        <v>8.40</v>
      </c>
      <c r="F1265" s="566">
        <f t="shared" si="40"/>
        <v>47.40</v>
      </c>
    </row>
    <row r="1266" spans="1:6" ht="13">
      <c r="A1266" s="432"/>
      <c r="B1266" s="354" t="s">
        <v>806</v>
      </c>
      <c r="C1266" s="434">
        <f>11.12+2.42</f>
        <v>13.54</v>
      </c>
      <c r="D1266" s="434">
        <v>3</v>
      </c>
      <c r="E1266" s="566">
        <f>(0.8*2.1)+(1*1.2)</f>
        <v>2.88</v>
      </c>
      <c r="F1266" s="566">
        <f t="shared" si="41" ref="F1266:F1272">(C1266+D1266)-E1266</f>
        <v>13.66</v>
      </c>
    </row>
    <row r="1267" spans="1:6" ht="13">
      <c r="A1267" s="432"/>
      <c r="B1267" s="354" t="s">
        <v>807</v>
      </c>
      <c r="C1267" s="434">
        <f>11.02+2.3</f>
        <v>13.32</v>
      </c>
      <c r="D1267" s="434">
        <v>3</v>
      </c>
      <c r="E1267" s="566">
        <f>(0.8*2.1)+(1*1.2)</f>
        <v>2.88</v>
      </c>
      <c r="F1267" s="566">
        <f t="shared" si="41"/>
        <v>13.44</v>
      </c>
    </row>
    <row r="1268" spans="1:6" ht="13">
      <c r="A1268" s="432"/>
      <c r="B1268" s="354" t="s">
        <v>808</v>
      </c>
      <c r="C1268" s="434">
        <f>18+3.26</f>
        <v>21.26</v>
      </c>
      <c r="D1268" s="434">
        <v>3</v>
      </c>
      <c r="E1268" s="566">
        <f>(0.8*2.1)+(1*1.2)+(1*0.8)</f>
        <v>3.68</v>
      </c>
      <c r="F1268" s="566">
        <f t="shared" si="41"/>
        <v>20.58</v>
      </c>
    </row>
    <row r="1269" spans="1:6" ht="13">
      <c r="A1269" s="432"/>
      <c r="B1269" s="354" t="s">
        <v>838</v>
      </c>
      <c r="C1269" s="434">
        <f>2.36*3</f>
        <v>7.08</v>
      </c>
      <c r="D1269" s="434">
        <v>2.2999999999999998</v>
      </c>
      <c r="E1269" s="566">
        <v>0</v>
      </c>
      <c r="F1269" s="566">
        <f t="shared" si="41"/>
        <v>9.3800000000000008</v>
      </c>
    </row>
    <row r="1270" spans="1:6" ht="13">
      <c r="A1270" s="432"/>
      <c r="B1270" s="354" t="s">
        <v>839</v>
      </c>
      <c r="C1270" s="434">
        <f>1+1.24</f>
        <v>2.2400000000000002</v>
      </c>
      <c r="D1270" s="434">
        <v>2.2999999999999998</v>
      </c>
      <c r="E1270" s="566">
        <v>0</v>
      </c>
      <c r="F1270" s="566">
        <f t="shared" si="41"/>
        <v>4.54</v>
      </c>
    </row>
    <row r="1271" spans="1:6" ht="13">
      <c r="A1271" s="432"/>
      <c r="B1271" s="354" t="s">
        <v>840</v>
      </c>
      <c r="C1271" s="434">
        <f>3.24+2.24</f>
        <v>5.48</v>
      </c>
      <c r="D1271" s="434">
        <v>2.2999999999999998</v>
      </c>
      <c r="E1271" s="566">
        <v>0</v>
      </c>
      <c r="F1271" s="566">
        <f t="shared" si="41"/>
        <v>7.78</v>
      </c>
    </row>
    <row r="1272" spans="1:6" ht="13">
      <c r="A1272" s="432"/>
      <c r="B1272" s="354" t="s">
        <v>841</v>
      </c>
      <c r="C1272" s="434">
        <f>10.11+3.18+25.45+36.91+42.13+9.39</f>
        <v>127.17</v>
      </c>
      <c r="D1272" s="434">
        <v>2</v>
      </c>
      <c r="E1272" s="566">
        <f>(0.8*2)+(4*2)</f>
        <v>9.60</v>
      </c>
      <c r="F1272" s="566">
        <f t="shared" si="41"/>
        <v>119.57</v>
      </c>
    </row>
    <row r="1273" spans="1:6" ht="13">
      <c r="A1273" s="432"/>
      <c r="B1273" s="354" t="s">
        <v>842</v>
      </c>
      <c r="C1273" s="569" t="s">
        <v>843</v>
      </c>
      <c r="D1273" s="570"/>
      <c r="E1273" s="571"/>
      <c r="F1273" s="566">
        <f>5.75*2</f>
        <v>11.50</v>
      </c>
    </row>
    <row r="1274" spans="1:6" ht="13">
      <c r="A1274" s="432"/>
      <c r="B1274" s="364" t="s">
        <v>844</v>
      </c>
      <c r="C1274" s="471"/>
      <c r="D1274" s="471"/>
      <c r="E1274" s="471"/>
      <c r="F1274" s="572"/>
    </row>
    <row r="1275" spans="1:6" ht="13">
      <c r="A1275" s="432"/>
      <c r="B1275" s="462" t="s">
        <v>845</v>
      </c>
      <c r="C1275" s="434">
        <v>93.23</v>
      </c>
      <c r="D1275" s="434">
        <v>3</v>
      </c>
      <c r="E1275" s="566">
        <f>(1.2*1)*15+(1*0.6)*2+(0.6*0.6)*13+(0.82*1.8)*2+(1.2*1)+(2.1*2)+(2.1*2)</f>
        <v>36.43</v>
      </c>
      <c r="F1275" s="566">
        <f t="shared" si="42" ref="F1275:F1276">(C1275+D1275)-E1275</f>
        <v>59.80</v>
      </c>
    </row>
    <row r="1276" spans="1:6" ht="13">
      <c r="A1276" s="432"/>
      <c r="B1276" s="354" t="s">
        <v>841</v>
      </c>
      <c r="C1276" s="434">
        <f>3.3+10.24+25.56+37.13+42.37+9.51</f>
        <v>128.11000000000001</v>
      </c>
      <c r="D1276" s="434">
        <v>2</v>
      </c>
      <c r="E1276" s="566">
        <f>(0.8*2)+(4*2)</f>
        <v>9.60</v>
      </c>
      <c r="F1276" s="566">
        <f t="shared" si="42"/>
        <v>120.51</v>
      </c>
    </row>
    <row r="1277" spans="1:6" ht="13">
      <c r="A1277" s="432"/>
      <c r="B1277" s="354" t="s">
        <v>842</v>
      </c>
      <c r="C1277" s="569" t="s">
        <v>843</v>
      </c>
      <c r="D1277" s="570"/>
      <c r="E1277" s="571"/>
      <c r="F1277" s="566">
        <f>5.75*2</f>
        <v>11.50</v>
      </c>
    </row>
    <row r="1278" spans="1:6" ht="13">
      <c r="A1278" s="432"/>
      <c r="B1278" s="567"/>
      <c r="C1278" s="567"/>
      <c r="D1278" s="434"/>
      <c r="E1278" s="567" t="s">
        <v>311</v>
      </c>
      <c r="F1278" s="568">
        <f>SUM(F1237:F1277)</f>
        <v>1569.45</v>
      </c>
    </row>
    <row r="1280" spans="1:6" ht="13">
      <c r="A1280" s="624" t="str">
        <f>medição!A154</f>
        <v>17.2</v>
      </c>
      <c r="B1280" s="625" t="str">
        <f>medição!B154</f>
        <v>APLICAÇÃO E LIXAMENTO DE MASSA LÁTEX EM PAREDES, UMA DEMÃO. AF_06/2014</v>
      </c>
      <c r="C1280" s="626"/>
      <c r="D1280" s="626"/>
      <c r="E1280" s="626"/>
      <c r="F1280" s="627"/>
    </row>
    <row r="1281" spans="1:6" ht="13">
      <c r="A1281" s="432"/>
      <c r="B1281" s="345" t="s">
        <v>306</v>
      </c>
      <c r="C1281" s="345" t="s">
        <v>741</v>
      </c>
      <c r="D1281" s="345" t="s">
        <v>740</v>
      </c>
      <c r="E1281" s="364" t="s">
        <v>835</v>
      </c>
      <c r="F1281" s="364" t="s">
        <v>309</v>
      </c>
    </row>
    <row r="1282" spans="1:6" ht="13">
      <c r="A1282" s="432"/>
      <c r="B1282" s="528" t="s">
        <v>746</v>
      </c>
      <c r="C1282" s="345"/>
      <c r="D1282" s="345"/>
      <c r="E1282" s="364"/>
      <c r="F1282" s="364"/>
    </row>
    <row r="1283" spans="1:6" ht="13">
      <c r="A1283" s="432"/>
      <c r="B1283" s="354" t="s">
        <v>780</v>
      </c>
      <c r="C1283" s="434">
        <f>9+4.86</f>
        <v>13.86</v>
      </c>
      <c r="D1283" s="434">
        <v>3</v>
      </c>
      <c r="E1283" s="566">
        <f>(1*0.6)+(0.8*2.1)</f>
        <v>2.2799999999999998</v>
      </c>
      <c r="F1283" s="566">
        <f>((C1283*D1283)-E1283)</f>
        <v>39.299999999999997</v>
      </c>
    </row>
    <row r="1284" spans="1:6" ht="13">
      <c r="A1284" s="432"/>
      <c r="B1284" s="354" t="s">
        <v>781</v>
      </c>
      <c r="C1284" s="434">
        <f>10+3.1</f>
        <v>13.10</v>
      </c>
      <c r="D1284" s="434">
        <v>3</v>
      </c>
      <c r="E1284" s="566">
        <f>((0.8*2.1))+(0.6*0.6)+(0.9*2.1)</f>
        <v>3.93</v>
      </c>
      <c r="F1284" s="566">
        <f>((C1284*D1284)-E1284)</f>
        <v>35.369999999999997</v>
      </c>
    </row>
    <row r="1285" spans="1:6" ht="13">
      <c r="A1285" s="432"/>
      <c r="B1285" s="354" t="s">
        <v>782</v>
      </c>
      <c r="C1285" s="434">
        <f>11.04+2.64</f>
        <v>13.68</v>
      </c>
      <c r="D1285" s="434">
        <v>3</v>
      </c>
      <c r="E1285" s="566">
        <f>(2.1*0.8)+(0.6*0.6)</f>
        <v>2.04</v>
      </c>
      <c r="F1285" s="566">
        <f>((C1285*D1285)-E1285)</f>
        <v>39</v>
      </c>
    </row>
    <row r="1286" spans="1:6" ht="13">
      <c r="A1286" s="432"/>
      <c r="B1286" s="354" t="s">
        <v>783</v>
      </c>
      <c r="C1286" s="434">
        <f>8.4+1.32</f>
        <v>9.7200000000000006</v>
      </c>
      <c r="D1286" s="434">
        <v>3</v>
      </c>
      <c r="E1286" s="566">
        <f>(2.1*0.8)+(0.6*0.6)</f>
        <v>2.04</v>
      </c>
      <c r="F1286" s="566">
        <f>((C1286*D1286)-E1286)</f>
        <v>27.12</v>
      </c>
    </row>
    <row r="1287" spans="1:6" ht="13">
      <c r="A1287" s="432"/>
      <c r="B1287" s="354" t="s">
        <v>784</v>
      </c>
      <c r="C1287" s="434">
        <f>8.04+1.4</f>
        <v>9.44</v>
      </c>
      <c r="D1287" s="434">
        <v>3</v>
      </c>
      <c r="E1287" s="566">
        <f>(0.6*0.6)+(0.8*2.1)</f>
        <v>2.04</v>
      </c>
      <c r="F1287" s="566">
        <f>((C1287*D1287)-E1287)</f>
        <v>26.28</v>
      </c>
    </row>
    <row r="1288" spans="1:6" ht="13">
      <c r="A1288" s="432"/>
      <c r="B1288" s="354" t="s">
        <v>785</v>
      </c>
      <c r="C1288" s="434">
        <f>8.3+1.27</f>
        <v>9.57</v>
      </c>
      <c r="D1288" s="434">
        <v>3</v>
      </c>
      <c r="E1288" s="566">
        <f>(0.6*0.6)+(0.8*2.1)</f>
        <v>2.04</v>
      </c>
      <c r="F1288" s="566">
        <f t="shared" si="43" ref="F1288:F1289">((C1288*D1288)-E1288)</f>
        <v>26.67</v>
      </c>
    </row>
    <row r="1289" spans="1:6" ht="13">
      <c r="A1289" s="432"/>
      <c r="B1289" s="354" t="s">
        <v>786</v>
      </c>
      <c r="C1289" s="434">
        <f>8.3+1.27</f>
        <v>9.57</v>
      </c>
      <c r="D1289" s="434">
        <v>3</v>
      </c>
      <c r="E1289" s="566">
        <f>(0.6*0.6)+(0.8*2.1)</f>
        <v>2.04</v>
      </c>
      <c r="F1289" s="566">
        <f t="shared" si="43"/>
        <v>26.67</v>
      </c>
    </row>
    <row r="1290" spans="1:6" ht="13">
      <c r="A1290" s="432"/>
      <c r="B1290" s="354" t="s">
        <v>787</v>
      </c>
      <c r="C1290" s="434">
        <f>19.4+13.28</f>
        <v>32.68</v>
      </c>
      <c r="D1290" s="434">
        <v>3</v>
      </c>
      <c r="E1290" s="566">
        <f>(2.1*0.8)+(1.2*1)*3</f>
        <v>5.28</v>
      </c>
      <c r="F1290" s="566">
        <f>((C1290*D1290)-E1290)</f>
        <v>92.76</v>
      </c>
    </row>
    <row r="1291" spans="1:6" ht="13">
      <c r="A1291" s="432"/>
      <c r="B1291" s="354" t="s">
        <v>788</v>
      </c>
      <c r="C1291" s="434">
        <v>25.02</v>
      </c>
      <c r="D1291" s="434">
        <v>3</v>
      </c>
      <c r="E1291" s="566">
        <f>(0.8*2.1*8)+(0.82*1.8)</f>
        <v>14.92</v>
      </c>
      <c r="F1291" s="566">
        <f>((C1291*D1291)-E1291)</f>
        <v>60.14</v>
      </c>
    </row>
    <row r="1292" spans="1:6" ht="13">
      <c r="A1292" s="432"/>
      <c r="B1292" s="354" t="s">
        <v>789</v>
      </c>
      <c r="C1292" s="434">
        <f>17+4.74</f>
        <v>21.74</v>
      </c>
      <c r="D1292" s="434">
        <v>3</v>
      </c>
      <c r="E1292" s="566">
        <f>(0.8*2.1*2)+(1.2*1*2)</f>
        <v>5.76</v>
      </c>
      <c r="F1292" s="566">
        <f>((C1292*D1292)-E1292)</f>
        <v>59.46</v>
      </c>
    </row>
    <row r="1293" spans="1:6" ht="13">
      <c r="A1293" s="432"/>
      <c r="B1293" s="354" t="s">
        <v>790</v>
      </c>
      <c r="C1293" s="434">
        <f>10.4+1.32+2.19</f>
        <v>13.91</v>
      </c>
      <c r="D1293" s="434">
        <v>3</v>
      </c>
      <c r="E1293" s="566">
        <f>(0.8*2.1)+(0.6*0.6)</f>
        <v>2.04</v>
      </c>
      <c r="F1293" s="566">
        <f t="shared" si="44" ref="F1293">((C1293*D1293)-E1293)</f>
        <v>39.69</v>
      </c>
    </row>
    <row r="1294" spans="1:6" ht="13">
      <c r="A1294" s="432"/>
      <c r="B1294" s="354" t="s">
        <v>791</v>
      </c>
      <c r="C1294" s="434">
        <f>7.18+1.9+1.5</f>
        <v>10.58</v>
      </c>
      <c r="D1294" s="434">
        <v>3</v>
      </c>
      <c r="E1294" s="566">
        <f>(0.9*2.1)+(0.6*0.6)</f>
        <v>2.25</v>
      </c>
      <c r="F1294" s="566">
        <f>((C1294*D1294)-E1294)</f>
        <v>29.49</v>
      </c>
    </row>
    <row r="1295" spans="1:6" ht="13">
      <c r="A1295" s="432"/>
      <c r="B1295" s="354" t="s">
        <v>792</v>
      </c>
      <c r="C1295" s="434">
        <f>7.18+1.9+1.5</f>
        <v>10.58</v>
      </c>
      <c r="D1295" s="434">
        <v>3</v>
      </c>
      <c r="E1295" s="566">
        <f>(0.9*2.1)+(0.6*0.6)</f>
        <v>2.25</v>
      </c>
      <c r="F1295" s="566">
        <f>((C1295*D1295)-E1295)</f>
        <v>29.49</v>
      </c>
    </row>
    <row r="1296" spans="1:6" ht="13">
      <c r="A1296" s="432"/>
      <c r="B1296" s="354" t="s">
        <v>793</v>
      </c>
      <c r="C1296" s="434">
        <f>8.4+1.16+0.95</f>
        <v>10.51</v>
      </c>
      <c r="D1296" s="434">
        <v>3</v>
      </c>
      <c r="E1296" s="566">
        <f>(0.8*2.1)+(0.6*0.6)</f>
        <v>2.04</v>
      </c>
      <c r="F1296" s="566">
        <f>((C1296*D1296)-E1296)</f>
        <v>29.49</v>
      </c>
    </row>
    <row r="1297" spans="1:6" ht="13">
      <c r="A1297" s="432"/>
      <c r="B1297" s="354" t="s">
        <v>794</v>
      </c>
      <c r="C1297" s="434">
        <f>8.4+1.16+0.95</f>
        <v>10.51</v>
      </c>
      <c r="D1297" s="434">
        <v>3</v>
      </c>
      <c r="E1297" s="566">
        <f>(0.8*2.1)+(0.6*0.6)</f>
        <v>2.04</v>
      </c>
      <c r="F1297" s="566">
        <f t="shared" si="45" ref="F1297">((C1297*D1297)-E1297)</f>
        <v>29.49</v>
      </c>
    </row>
    <row r="1298" spans="1:6" ht="13">
      <c r="A1298" s="432"/>
      <c r="B1298" s="354" t="s">
        <v>795</v>
      </c>
      <c r="C1298" s="434">
        <f>3.88+0.2+0.92</f>
        <v>5</v>
      </c>
      <c r="D1298" s="434">
        <v>0.80</v>
      </c>
      <c r="E1298" s="566">
        <f>0</f>
        <v>0</v>
      </c>
      <c r="F1298" s="566">
        <f>((C1298*D1298)-E1298)</f>
        <v>4</v>
      </c>
    </row>
    <row r="1299" spans="1:6" ht="13">
      <c r="A1299" s="485"/>
      <c r="B1299" s="354" t="s">
        <v>796</v>
      </c>
      <c r="C1299" s="434">
        <f>12.5+2.19+2.37</f>
        <v>17.06</v>
      </c>
      <c r="D1299" s="434">
        <v>3</v>
      </c>
      <c r="E1299" s="566">
        <f>(0.8*2.1)+(1.2*1)+(0.9*2.1)</f>
        <v>4.7699999999999996</v>
      </c>
      <c r="F1299" s="566">
        <f>((C1299*D1299)-E1299)</f>
        <v>46.41</v>
      </c>
    </row>
    <row r="1300" spans="1:6" ht="13">
      <c r="A1300" s="485"/>
      <c r="B1300" s="354" t="s">
        <v>797</v>
      </c>
      <c r="C1300" s="434">
        <f>7.5+2.37</f>
        <v>9.8699999999999992</v>
      </c>
      <c r="D1300" s="434">
        <v>3</v>
      </c>
      <c r="E1300" s="566">
        <f>(0.9*2.1)+(0.6*0.6)</f>
        <v>2.25</v>
      </c>
      <c r="F1300" s="566">
        <f>((C1300*D1300)-E1300)</f>
        <v>27.36</v>
      </c>
    </row>
    <row r="1301" spans="1:6" ht="13">
      <c r="A1301" s="485"/>
      <c r="B1301" s="354" t="s">
        <v>798</v>
      </c>
      <c r="C1301" s="434">
        <f>15.33+1.4</f>
        <v>16.73</v>
      </c>
      <c r="D1301" s="434">
        <v>3</v>
      </c>
      <c r="E1301" s="566">
        <f>(0.8*2.1)+(0.6*0.6)</f>
        <v>2.04</v>
      </c>
      <c r="F1301" s="566">
        <f t="shared" si="46" ref="F1301:F1311">((C1301*D1301)-E1301)</f>
        <v>48.15</v>
      </c>
    </row>
    <row r="1302" spans="1:6" ht="13">
      <c r="A1302" s="485"/>
      <c r="B1302" s="354" t="s">
        <v>799</v>
      </c>
      <c r="C1302" s="434">
        <f>20.04+10.38</f>
        <v>30.42</v>
      </c>
      <c r="D1302" s="434">
        <v>3</v>
      </c>
      <c r="E1302" s="566">
        <f>(0.8*2.1)+(1.2*1*2)+(1*0.6)</f>
        <v>4.68</v>
      </c>
      <c r="F1302" s="566">
        <f t="shared" si="46"/>
        <v>86.58</v>
      </c>
    </row>
    <row r="1303" spans="1:6" ht="13">
      <c r="A1303" s="485"/>
      <c r="B1303" s="354" t="s">
        <v>837</v>
      </c>
      <c r="C1303" s="434">
        <f>2.12*2</f>
        <v>4.24</v>
      </c>
      <c r="D1303" s="434">
        <v>1</v>
      </c>
      <c r="E1303" s="566">
        <v>0</v>
      </c>
      <c r="F1303" s="566">
        <f t="shared" si="46"/>
        <v>4.24</v>
      </c>
    </row>
    <row r="1304" spans="1:6" ht="13">
      <c r="A1304" s="485"/>
      <c r="B1304" s="354" t="s">
        <v>809</v>
      </c>
      <c r="C1304" s="434">
        <f>7.56+6.06</f>
        <v>13.62</v>
      </c>
      <c r="D1304" s="434">
        <v>3</v>
      </c>
      <c r="E1304" s="566">
        <f>(0.8*2.1*2)+(1*0.8)+(1.6*2.1)</f>
        <v>7.52</v>
      </c>
      <c r="F1304" s="566">
        <f t="shared" si="46"/>
        <v>33.340000000000003</v>
      </c>
    </row>
    <row r="1305" spans="1:6" ht="13">
      <c r="A1305" s="485"/>
      <c r="B1305" s="354" t="s">
        <v>810</v>
      </c>
      <c r="C1305" s="434">
        <f>27.38+3</f>
        <v>30.38</v>
      </c>
      <c r="D1305" s="434">
        <v>3</v>
      </c>
      <c r="E1305" s="566">
        <f>(0.8*2.1*7)+(1.5*1.8)</f>
        <v>14.46</v>
      </c>
      <c r="F1305" s="566">
        <f t="shared" si="46"/>
        <v>76.680000000000007</v>
      </c>
    </row>
    <row r="1306" spans="1:6" ht="13">
      <c r="A1306" s="485"/>
      <c r="B1306" s="354" t="s">
        <v>800</v>
      </c>
      <c r="C1306" s="434">
        <f>12.04+6.5</f>
        <v>18.54</v>
      </c>
      <c r="D1306" s="434">
        <v>3</v>
      </c>
      <c r="E1306" s="566">
        <f>(0.8*2.1)+(1*1.2)</f>
        <v>2.88</v>
      </c>
      <c r="F1306" s="566">
        <f t="shared" si="46"/>
        <v>52.74</v>
      </c>
    </row>
    <row r="1307" spans="1:6" ht="13">
      <c r="A1307" s="485"/>
      <c r="B1307" s="354" t="s">
        <v>801</v>
      </c>
      <c r="C1307" s="434">
        <f>12.04+2.88</f>
        <v>14.92</v>
      </c>
      <c r="D1307" s="434">
        <v>3</v>
      </c>
      <c r="E1307" s="566">
        <f>(0.8*2.1)+(1.2*1)</f>
        <v>2.88</v>
      </c>
      <c r="F1307" s="566">
        <f t="shared" si="46"/>
        <v>41.88</v>
      </c>
    </row>
    <row r="1308" spans="1:6" ht="13">
      <c r="A1308" s="485"/>
      <c r="B1308" s="354" t="s">
        <v>802</v>
      </c>
      <c r="C1308" s="434">
        <f>12.04+2.88</f>
        <v>14.92</v>
      </c>
      <c r="D1308" s="434">
        <v>3</v>
      </c>
      <c r="E1308" s="566">
        <f>(1.2*1)+(2.1*0.8)</f>
        <v>2.88</v>
      </c>
      <c r="F1308" s="566">
        <f t="shared" si="46"/>
        <v>41.88</v>
      </c>
    </row>
    <row r="1309" spans="1:6" ht="13">
      <c r="A1309" s="485"/>
      <c r="B1309" s="354" t="s">
        <v>803</v>
      </c>
      <c r="C1309" s="434">
        <f>12.04+2.88</f>
        <v>14.92</v>
      </c>
      <c r="D1309" s="434">
        <v>3</v>
      </c>
      <c r="E1309" s="566">
        <f>(0.8*2.1)+(1*1.2)</f>
        <v>2.88</v>
      </c>
      <c r="F1309" s="566">
        <f t="shared" si="46"/>
        <v>41.88</v>
      </c>
    </row>
    <row r="1310" spans="1:6" ht="13">
      <c r="A1310" s="485"/>
      <c r="B1310" s="354" t="s">
        <v>804</v>
      </c>
      <c r="C1310" s="434">
        <f>10.42+1.95</f>
        <v>12.37</v>
      </c>
      <c r="D1310" s="434">
        <v>3</v>
      </c>
      <c r="E1310" s="566">
        <f>(0.8*2.1)+(1*1.2)</f>
        <v>2.88</v>
      </c>
      <c r="F1310" s="566">
        <f t="shared" si="46"/>
        <v>34.229999999999997</v>
      </c>
    </row>
    <row r="1311" spans="1:6" ht="13">
      <c r="A1311" s="485"/>
      <c r="B1311" s="354" t="s">
        <v>805</v>
      </c>
      <c r="C1311" s="434">
        <f>12.56+6.04</f>
        <v>18.60</v>
      </c>
      <c r="D1311" s="434">
        <v>3</v>
      </c>
      <c r="E1311" s="566">
        <f>(2*2.1*2)</f>
        <v>8.40</v>
      </c>
      <c r="F1311" s="566">
        <f t="shared" si="46"/>
        <v>47.40</v>
      </c>
    </row>
    <row r="1312" spans="1:6" ht="13">
      <c r="A1312" s="485"/>
      <c r="B1312" s="354" t="s">
        <v>806</v>
      </c>
      <c r="C1312" s="434">
        <f>11.12+2.42</f>
        <v>13.54</v>
      </c>
      <c r="D1312" s="434">
        <v>3</v>
      </c>
      <c r="E1312" s="566">
        <f>(0.8*2.1)+(1*1.2)</f>
        <v>2.88</v>
      </c>
      <c r="F1312" s="566">
        <f t="shared" si="47" ref="F1312:F1317">(C1312+D1312)-E1312</f>
        <v>13.66</v>
      </c>
    </row>
    <row r="1313" spans="1:6" ht="13">
      <c r="A1313" s="485"/>
      <c r="B1313" s="354" t="s">
        <v>807</v>
      </c>
      <c r="C1313" s="434">
        <f>11.02+2.3</f>
        <v>13.32</v>
      </c>
      <c r="D1313" s="434">
        <v>3</v>
      </c>
      <c r="E1313" s="566">
        <f>(0.8*2.1)+(1*1.2)</f>
        <v>2.88</v>
      </c>
      <c r="F1313" s="566">
        <f t="shared" si="47"/>
        <v>13.44</v>
      </c>
    </row>
    <row r="1314" spans="1:6" ht="13">
      <c r="A1314" s="485"/>
      <c r="B1314" s="354" t="s">
        <v>808</v>
      </c>
      <c r="C1314" s="434">
        <f>18+3.26</f>
        <v>21.26</v>
      </c>
      <c r="D1314" s="434">
        <v>3</v>
      </c>
      <c r="E1314" s="566">
        <f>(0.8*2.1)+(1*1.2)+(1*0.8)</f>
        <v>3.68</v>
      </c>
      <c r="F1314" s="566">
        <f t="shared" si="47"/>
        <v>20.58</v>
      </c>
    </row>
    <row r="1315" spans="1:6" ht="13">
      <c r="A1315" s="485"/>
      <c r="B1315" s="354" t="s">
        <v>838</v>
      </c>
      <c r="C1315" s="434">
        <f>2.36*3</f>
        <v>7.08</v>
      </c>
      <c r="D1315" s="434">
        <v>2.2999999999999998</v>
      </c>
      <c r="E1315" s="566">
        <v>0</v>
      </c>
      <c r="F1315" s="566">
        <f t="shared" si="47"/>
        <v>9.3800000000000008</v>
      </c>
    </row>
    <row r="1316" spans="1:6" ht="13">
      <c r="A1316" s="485"/>
      <c r="B1316" s="354" t="s">
        <v>839</v>
      </c>
      <c r="C1316" s="434">
        <f>1+1.24</f>
        <v>2.2400000000000002</v>
      </c>
      <c r="D1316" s="434">
        <v>2.2999999999999998</v>
      </c>
      <c r="E1316" s="566">
        <v>0</v>
      </c>
      <c r="F1316" s="566">
        <f t="shared" si="47"/>
        <v>4.54</v>
      </c>
    </row>
    <row r="1317" spans="1:6" ht="13">
      <c r="A1317" s="485"/>
      <c r="B1317" s="354" t="s">
        <v>840</v>
      </c>
      <c r="C1317" s="434">
        <f>3.24+2.24</f>
        <v>5.48</v>
      </c>
      <c r="D1317" s="434">
        <v>2.2999999999999998</v>
      </c>
      <c r="E1317" s="566">
        <v>0</v>
      </c>
      <c r="F1317" s="566">
        <f t="shared" si="47"/>
        <v>7.78</v>
      </c>
    </row>
    <row r="1318" spans="1:6" ht="13">
      <c r="A1318" s="485"/>
      <c r="B1318" s="354" t="s">
        <v>842</v>
      </c>
      <c r="C1318" s="569" t="s">
        <v>843</v>
      </c>
      <c r="D1318" s="570"/>
      <c r="E1318" s="571"/>
      <c r="F1318" s="566">
        <f>5.75*2</f>
        <v>11.50</v>
      </c>
    </row>
    <row r="1319" spans="1:6" ht="13">
      <c r="A1319" s="485"/>
      <c r="B1319" s="364" t="s">
        <v>844</v>
      </c>
      <c r="C1319" s="471"/>
      <c r="D1319" s="471"/>
      <c r="E1319" s="471"/>
      <c r="F1319" s="572"/>
    </row>
    <row r="1320" spans="1:6" ht="13">
      <c r="A1320" s="485"/>
      <c r="B1320" s="462" t="s">
        <v>845</v>
      </c>
      <c r="C1320" s="434">
        <v>93.23</v>
      </c>
      <c r="D1320" s="434">
        <v>3</v>
      </c>
      <c r="E1320" s="566">
        <f>(1.2*1)*15+(1*0.6)*2+(0.6*0.6)*13+(0.82*1.8)*2+(1.2*1)+(2.1*2)+(2.1*2)</f>
        <v>36.43</v>
      </c>
      <c r="F1320" s="566">
        <f t="shared" si="48" ref="F1320">(C1320+D1320)-E1320</f>
        <v>59.80</v>
      </c>
    </row>
    <row r="1321" spans="1:6" ht="13">
      <c r="A1321" s="485"/>
      <c r="B1321" s="354" t="s">
        <v>842</v>
      </c>
      <c r="C1321" s="569" t="s">
        <v>843</v>
      </c>
      <c r="D1321" s="570"/>
      <c r="E1321" s="571"/>
      <c r="F1321" s="566">
        <f>5.75*2</f>
        <v>11.50</v>
      </c>
    </row>
    <row r="1322" spans="1:6" ht="13">
      <c r="A1322" s="485"/>
      <c r="B1322" s="567"/>
      <c r="C1322" s="567"/>
      <c r="D1322" s="434"/>
      <c r="E1322" s="567" t="s">
        <v>311</v>
      </c>
      <c r="F1322" s="568">
        <f>SUM(F1283:F1321)</f>
        <v>1329.37</v>
      </c>
    </row>
    <row r="1324" spans="1:6" ht="13">
      <c r="A1324" s="426" t="str">
        <f>medição!A155</f>
        <v>17.3</v>
      </c>
      <c r="B1324" s="625" t="str">
        <f>medição!B155</f>
        <v>APLICAÇÃO MANUAL DE PINTURA COM TINTA LÁTEX ACRÍLICA EM PAREDES, DUAS DEMÃOS. AF_06/2014</v>
      </c>
      <c r="C1324" s="626"/>
      <c r="D1324" s="626"/>
      <c r="E1324" s="626"/>
      <c r="F1324" s="627"/>
    </row>
    <row r="1325" spans="1:6" ht="13">
      <c r="A1325" s="432"/>
      <c r="B1325" s="345" t="s">
        <v>306</v>
      </c>
      <c r="C1325" s="345" t="s">
        <v>741</v>
      </c>
      <c r="D1325" s="345" t="s">
        <v>740</v>
      </c>
      <c r="E1325" s="364" t="s">
        <v>835</v>
      </c>
      <c r="F1325" s="364" t="s">
        <v>309</v>
      </c>
    </row>
    <row r="1326" spans="1:6" ht="13">
      <c r="A1326" s="432"/>
      <c r="B1326" s="528" t="s">
        <v>746</v>
      </c>
      <c r="C1326" s="345"/>
      <c r="D1326" s="345"/>
      <c r="E1326" s="364"/>
      <c r="F1326" s="364"/>
    </row>
    <row r="1327" spans="1:6" ht="13">
      <c r="A1327" s="432"/>
      <c r="B1327" s="354" t="s">
        <v>780</v>
      </c>
      <c r="C1327" s="434">
        <f>9+4.86</f>
        <v>13.86</v>
      </c>
      <c r="D1327" s="434">
        <v>3</v>
      </c>
      <c r="E1327" s="566">
        <f>(1*0.6)+(0.8*2.1)</f>
        <v>2.2799999999999998</v>
      </c>
      <c r="F1327" s="566">
        <f>((C1327*D1327)-E1327)</f>
        <v>39.299999999999997</v>
      </c>
    </row>
    <row r="1328" spans="1:6" ht="13">
      <c r="A1328" s="432"/>
      <c r="B1328" s="354" t="s">
        <v>781</v>
      </c>
      <c r="C1328" s="434">
        <f>10+3.1</f>
        <v>13.10</v>
      </c>
      <c r="D1328" s="434">
        <v>3</v>
      </c>
      <c r="E1328" s="566">
        <f>((0.8*2.1))+(0.6*0.6)+(0.9*2.1)</f>
        <v>3.93</v>
      </c>
      <c r="F1328" s="566">
        <f>((C1328*D1328)-E1328)</f>
        <v>35.369999999999997</v>
      </c>
    </row>
    <row r="1329" spans="1:6" ht="13">
      <c r="A1329" s="432"/>
      <c r="B1329" s="354" t="s">
        <v>782</v>
      </c>
      <c r="C1329" s="434">
        <f>11.04+2.64</f>
        <v>13.68</v>
      </c>
      <c r="D1329" s="434">
        <v>3</v>
      </c>
      <c r="E1329" s="566">
        <f>(2.1*0.8)+(0.6*0.6)</f>
        <v>2.04</v>
      </c>
      <c r="F1329" s="566">
        <f>((C1329*D1329)-E1329)</f>
        <v>39</v>
      </c>
    </row>
    <row r="1330" spans="1:6" ht="13">
      <c r="A1330" s="432"/>
      <c r="B1330" s="354" t="s">
        <v>783</v>
      </c>
      <c r="C1330" s="434">
        <f>8.4+1.32</f>
        <v>9.7200000000000006</v>
      </c>
      <c r="D1330" s="434">
        <v>3</v>
      </c>
      <c r="E1330" s="566">
        <f>(2.1*0.8)+(0.6*0.6)</f>
        <v>2.04</v>
      </c>
      <c r="F1330" s="566">
        <f>((C1330*D1330)-E1330)</f>
        <v>27.12</v>
      </c>
    </row>
    <row r="1331" spans="1:6" ht="13">
      <c r="A1331" s="432"/>
      <c r="B1331" s="354" t="s">
        <v>784</v>
      </c>
      <c r="C1331" s="434">
        <f>8.04+1.4</f>
        <v>9.44</v>
      </c>
      <c r="D1331" s="434">
        <v>3</v>
      </c>
      <c r="E1331" s="566">
        <f>(0.6*0.6)+(0.8*2.1)</f>
        <v>2.04</v>
      </c>
      <c r="F1331" s="566">
        <f>((C1331*D1331)-E1331)</f>
        <v>26.28</v>
      </c>
    </row>
    <row r="1332" spans="1:6" ht="13">
      <c r="A1332" s="432"/>
      <c r="B1332" s="354" t="s">
        <v>785</v>
      </c>
      <c r="C1332" s="434">
        <f>8.3+1.27</f>
        <v>9.57</v>
      </c>
      <c r="D1332" s="434">
        <v>3</v>
      </c>
      <c r="E1332" s="566">
        <f>(0.6*0.6)+(0.8*2.1)</f>
        <v>2.04</v>
      </c>
      <c r="F1332" s="566">
        <f t="shared" si="49" ref="F1332:F1333">((C1332*D1332)-E1332)</f>
        <v>26.67</v>
      </c>
    </row>
    <row r="1333" spans="1:6" ht="13">
      <c r="A1333" s="432"/>
      <c r="B1333" s="354" t="s">
        <v>786</v>
      </c>
      <c r="C1333" s="434">
        <f>8.3+1.27</f>
        <v>9.57</v>
      </c>
      <c r="D1333" s="434">
        <v>3</v>
      </c>
      <c r="E1333" s="566">
        <f>(0.6*0.6)+(0.8*2.1)</f>
        <v>2.04</v>
      </c>
      <c r="F1333" s="566">
        <f t="shared" si="49"/>
        <v>26.67</v>
      </c>
    </row>
    <row r="1334" spans="1:6" ht="13">
      <c r="A1334" s="432"/>
      <c r="B1334" s="354" t="s">
        <v>787</v>
      </c>
      <c r="C1334" s="434">
        <f>19.4+13.28</f>
        <v>32.68</v>
      </c>
      <c r="D1334" s="434">
        <v>3</v>
      </c>
      <c r="E1334" s="566">
        <f>(2.1*0.8)+(1.2*1)*3</f>
        <v>5.28</v>
      </c>
      <c r="F1334" s="566">
        <f>((C1334*D1334)-E1334)</f>
        <v>92.76</v>
      </c>
    </row>
    <row r="1335" spans="1:6" ht="13">
      <c r="A1335" s="432"/>
      <c r="B1335" s="354" t="s">
        <v>788</v>
      </c>
      <c r="C1335" s="434">
        <v>25.02</v>
      </c>
      <c r="D1335" s="434">
        <v>3</v>
      </c>
      <c r="E1335" s="566">
        <f>(0.8*2.1*8)+(0.82*1.8)</f>
        <v>14.92</v>
      </c>
      <c r="F1335" s="566">
        <f>((C1335*D1335)-E1335)</f>
        <v>60.14</v>
      </c>
    </row>
    <row r="1336" spans="1:6" ht="13">
      <c r="A1336" s="432"/>
      <c r="B1336" s="354" t="s">
        <v>789</v>
      </c>
      <c r="C1336" s="434">
        <f>17+4.74</f>
        <v>21.74</v>
      </c>
      <c r="D1336" s="434">
        <v>3</v>
      </c>
      <c r="E1336" s="566">
        <f>(0.8*2.1*2)+(1.2*1*2)</f>
        <v>5.76</v>
      </c>
      <c r="F1336" s="566">
        <f>((C1336*D1336)-E1336)</f>
        <v>59.46</v>
      </c>
    </row>
    <row r="1337" spans="1:6" ht="13">
      <c r="A1337" s="432"/>
      <c r="B1337" s="354" t="s">
        <v>790</v>
      </c>
      <c r="C1337" s="434">
        <f>10.4+1.32+2.19</f>
        <v>13.91</v>
      </c>
      <c r="D1337" s="434">
        <v>3</v>
      </c>
      <c r="E1337" s="566">
        <f>(0.8*2.1)+(0.6*0.6)</f>
        <v>2.04</v>
      </c>
      <c r="F1337" s="566">
        <f t="shared" si="50" ref="F1337">((C1337*D1337)-E1337)</f>
        <v>39.69</v>
      </c>
    </row>
    <row r="1338" spans="1:6" ht="13">
      <c r="A1338" s="432"/>
      <c r="B1338" s="354" t="s">
        <v>791</v>
      </c>
      <c r="C1338" s="434">
        <f>7.18+1.9+1.5</f>
        <v>10.58</v>
      </c>
      <c r="D1338" s="434">
        <v>3</v>
      </c>
      <c r="E1338" s="566">
        <f>(0.9*2.1)+(0.6*0.6)</f>
        <v>2.25</v>
      </c>
      <c r="F1338" s="566">
        <f>((C1338*D1338)-E1338)</f>
        <v>29.49</v>
      </c>
    </row>
    <row r="1339" spans="1:6" ht="13">
      <c r="A1339" s="432"/>
      <c r="B1339" s="354" t="s">
        <v>792</v>
      </c>
      <c r="C1339" s="434">
        <f>7.18+1.9+1.5</f>
        <v>10.58</v>
      </c>
      <c r="D1339" s="434">
        <v>3</v>
      </c>
      <c r="E1339" s="566">
        <f>(0.9*2.1)+(0.6*0.6)</f>
        <v>2.25</v>
      </c>
      <c r="F1339" s="566">
        <f>((C1339*D1339)-E1339)</f>
        <v>29.49</v>
      </c>
    </row>
    <row r="1340" spans="1:6" ht="13">
      <c r="A1340" s="432"/>
      <c r="B1340" s="354" t="s">
        <v>793</v>
      </c>
      <c r="C1340" s="434">
        <f>8.4+1.16+0.95</f>
        <v>10.51</v>
      </c>
      <c r="D1340" s="434">
        <v>3</v>
      </c>
      <c r="E1340" s="566">
        <f>(0.8*2.1)+(0.6*0.6)</f>
        <v>2.04</v>
      </c>
      <c r="F1340" s="566">
        <f>((C1340*D1340)-E1340)</f>
        <v>29.49</v>
      </c>
    </row>
    <row r="1341" spans="1:6" ht="13">
      <c r="A1341" s="432"/>
      <c r="B1341" s="354" t="s">
        <v>794</v>
      </c>
      <c r="C1341" s="434">
        <f>8.4+1.16+0.95</f>
        <v>10.51</v>
      </c>
      <c r="D1341" s="434">
        <v>3</v>
      </c>
      <c r="E1341" s="566">
        <f>(0.8*2.1)+(0.6*0.6)</f>
        <v>2.04</v>
      </c>
      <c r="F1341" s="566">
        <f t="shared" si="51" ref="F1341">((C1341*D1341)-E1341)</f>
        <v>29.49</v>
      </c>
    </row>
    <row r="1342" spans="1:6" ht="13">
      <c r="A1342" s="432"/>
      <c r="B1342" s="354" t="s">
        <v>795</v>
      </c>
      <c r="C1342" s="434">
        <f>3.88+0.2+0.92</f>
        <v>5</v>
      </c>
      <c r="D1342" s="434">
        <v>0.80</v>
      </c>
      <c r="E1342" s="566">
        <f>0</f>
        <v>0</v>
      </c>
      <c r="F1342" s="566">
        <f>((C1342*D1342)-E1342)</f>
        <v>4</v>
      </c>
    </row>
    <row r="1343" spans="1:6" ht="13">
      <c r="A1343" s="485"/>
      <c r="B1343" s="354" t="s">
        <v>796</v>
      </c>
      <c r="C1343" s="434">
        <f>12.5+2.19+2.37</f>
        <v>17.06</v>
      </c>
      <c r="D1343" s="434">
        <v>3</v>
      </c>
      <c r="E1343" s="566">
        <f>(0.8*2.1)+(1.2*1)+(0.9*2.1)</f>
        <v>4.7699999999999996</v>
      </c>
      <c r="F1343" s="566">
        <f>((C1343*D1343)-E1343)</f>
        <v>46.41</v>
      </c>
    </row>
    <row r="1344" spans="1:6" ht="13">
      <c r="A1344" s="485"/>
      <c r="B1344" s="354" t="s">
        <v>797</v>
      </c>
      <c r="C1344" s="434">
        <f>7.5+2.37</f>
        <v>9.8699999999999992</v>
      </c>
      <c r="D1344" s="434">
        <v>3</v>
      </c>
      <c r="E1344" s="566">
        <f>(0.9*2.1)+(0.6*0.6)</f>
        <v>2.25</v>
      </c>
      <c r="F1344" s="566">
        <f>((C1344*D1344)-E1344)</f>
        <v>27.36</v>
      </c>
    </row>
    <row r="1345" spans="1:6" ht="13">
      <c r="A1345" s="485"/>
      <c r="B1345" s="354" t="s">
        <v>798</v>
      </c>
      <c r="C1345" s="434">
        <f>15.33+1.4</f>
        <v>16.73</v>
      </c>
      <c r="D1345" s="434">
        <v>3</v>
      </c>
      <c r="E1345" s="566">
        <f>(0.8*2.1)+(0.6*0.6)</f>
        <v>2.04</v>
      </c>
      <c r="F1345" s="566">
        <f t="shared" si="52" ref="F1345:F1355">((C1345*D1345)-E1345)</f>
        <v>48.15</v>
      </c>
    </row>
    <row r="1346" spans="1:6" ht="13">
      <c r="A1346" s="485"/>
      <c r="B1346" s="354" t="s">
        <v>799</v>
      </c>
      <c r="C1346" s="434">
        <f>20.04+10.38</f>
        <v>30.42</v>
      </c>
      <c r="D1346" s="434">
        <v>3</v>
      </c>
      <c r="E1346" s="566">
        <f>(0.8*2.1)+(1.2*1*2)+(1*0.6)</f>
        <v>4.68</v>
      </c>
      <c r="F1346" s="566">
        <f t="shared" si="52"/>
        <v>86.58</v>
      </c>
    </row>
    <row r="1347" spans="1:6" ht="13">
      <c r="A1347" s="485"/>
      <c r="B1347" s="354" t="s">
        <v>837</v>
      </c>
      <c r="C1347" s="434">
        <f>2.12*2</f>
        <v>4.24</v>
      </c>
      <c r="D1347" s="434">
        <v>1</v>
      </c>
      <c r="E1347" s="566">
        <v>0</v>
      </c>
      <c r="F1347" s="566">
        <f t="shared" si="52"/>
        <v>4.24</v>
      </c>
    </row>
    <row r="1348" spans="1:6" ht="13">
      <c r="A1348" s="485"/>
      <c r="B1348" s="354" t="s">
        <v>809</v>
      </c>
      <c r="C1348" s="434">
        <f>7.56+6.06</f>
        <v>13.62</v>
      </c>
      <c r="D1348" s="434">
        <v>3</v>
      </c>
      <c r="E1348" s="566">
        <f>(0.8*2.1*2)+(1*0.8)+(1.6*2.1)</f>
        <v>7.52</v>
      </c>
      <c r="F1348" s="566">
        <f t="shared" si="52"/>
        <v>33.340000000000003</v>
      </c>
    </row>
    <row r="1349" spans="1:6" ht="13">
      <c r="A1349" s="485"/>
      <c r="B1349" s="354" t="s">
        <v>810</v>
      </c>
      <c r="C1349" s="434">
        <f>27.38+3</f>
        <v>30.38</v>
      </c>
      <c r="D1349" s="434">
        <v>3</v>
      </c>
      <c r="E1349" s="566">
        <f>(0.8*2.1*7)+(1.5*1.8)</f>
        <v>14.46</v>
      </c>
      <c r="F1349" s="566">
        <f t="shared" si="52"/>
        <v>76.680000000000007</v>
      </c>
    </row>
    <row r="1350" spans="1:6" ht="13">
      <c r="A1350" s="485"/>
      <c r="B1350" s="354" t="s">
        <v>800</v>
      </c>
      <c r="C1350" s="434">
        <f>12.04+6.5</f>
        <v>18.54</v>
      </c>
      <c r="D1350" s="434">
        <v>3</v>
      </c>
      <c r="E1350" s="566">
        <f>(0.8*2.1)+(1*1.2)</f>
        <v>2.88</v>
      </c>
      <c r="F1350" s="566">
        <f t="shared" si="52"/>
        <v>52.74</v>
      </c>
    </row>
    <row r="1351" spans="1:6" ht="13">
      <c r="A1351" s="485"/>
      <c r="B1351" s="354" t="s">
        <v>801</v>
      </c>
      <c r="C1351" s="434">
        <f>12.04+2.88</f>
        <v>14.92</v>
      </c>
      <c r="D1351" s="434">
        <v>3</v>
      </c>
      <c r="E1351" s="566">
        <f>(0.8*2.1)+(1.2*1)</f>
        <v>2.88</v>
      </c>
      <c r="F1351" s="566">
        <f t="shared" si="52"/>
        <v>41.88</v>
      </c>
    </row>
    <row r="1352" spans="1:6" ht="13">
      <c r="A1352" s="485"/>
      <c r="B1352" s="354" t="s">
        <v>802</v>
      </c>
      <c r="C1352" s="434">
        <f>12.04+2.88</f>
        <v>14.92</v>
      </c>
      <c r="D1352" s="434">
        <v>3</v>
      </c>
      <c r="E1352" s="566">
        <f>(1.2*1)+(2.1*0.8)</f>
        <v>2.88</v>
      </c>
      <c r="F1352" s="566">
        <f t="shared" si="52"/>
        <v>41.88</v>
      </c>
    </row>
    <row r="1353" spans="1:6" ht="13">
      <c r="A1353" s="485"/>
      <c r="B1353" s="354" t="s">
        <v>803</v>
      </c>
      <c r="C1353" s="434">
        <f>12.04+2.88</f>
        <v>14.92</v>
      </c>
      <c r="D1353" s="434">
        <v>3</v>
      </c>
      <c r="E1353" s="566">
        <f>(0.8*2.1)+(1*1.2)</f>
        <v>2.88</v>
      </c>
      <c r="F1353" s="566">
        <f t="shared" si="52"/>
        <v>41.88</v>
      </c>
    </row>
    <row r="1354" spans="1:6" ht="13">
      <c r="A1354" s="485"/>
      <c r="B1354" s="354" t="s">
        <v>804</v>
      </c>
      <c r="C1354" s="434">
        <f>10.42+1.95</f>
        <v>12.37</v>
      </c>
      <c r="D1354" s="434">
        <v>3</v>
      </c>
      <c r="E1354" s="566">
        <f>(0.8*2.1)+(1*1.2)</f>
        <v>2.88</v>
      </c>
      <c r="F1354" s="566">
        <f t="shared" si="52"/>
        <v>34.229999999999997</v>
      </c>
    </row>
    <row r="1355" spans="1:6" ht="13">
      <c r="A1355" s="485"/>
      <c r="B1355" s="354" t="s">
        <v>805</v>
      </c>
      <c r="C1355" s="434">
        <f>12.56+6.04</f>
        <v>18.60</v>
      </c>
      <c r="D1355" s="434">
        <v>3</v>
      </c>
      <c r="E1355" s="566">
        <f>(2*2.1*2)</f>
        <v>8.40</v>
      </c>
      <c r="F1355" s="566">
        <f t="shared" si="52"/>
        <v>47.40</v>
      </c>
    </row>
    <row r="1356" spans="1:6" ht="13">
      <c r="A1356" s="485"/>
      <c r="B1356" s="354" t="s">
        <v>806</v>
      </c>
      <c r="C1356" s="434">
        <f>11.12+2.42</f>
        <v>13.54</v>
      </c>
      <c r="D1356" s="434">
        <v>3</v>
      </c>
      <c r="E1356" s="566">
        <f>(0.8*2.1)+(1*1.2)</f>
        <v>2.88</v>
      </c>
      <c r="F1356" s="566">
        <f t="shared" si="53" ref="F1356:F1362">(C1356+D1356)-E1356</f>
        <v>13.66</v>
      </c>
    </row>
    <row r="1357" spans="1:6" ht="13">
      <c r="A1357" s="485"/>
      <c r="B1357" s="354" t="s">
        <v>807</v>
      </c>
      <c r="C1357" s="434">
        <f>11.02+2.3</f>
        <v>13.32</v>
      </c>
      <c r="D1357" s="434">
        <v>3</v>
      </c>
      <c r="E1357" s="566">
        <f>(0.8*2.1)+(1*1.2)</f>
        <v>2.88</v>
      </c>
      <c r="F1357" s="566">
        <f t="shared" si="53"/>
        <v>13.44</v>
      </c>
    </row>
    <row r="1358" spans="1:6" ht="13">
      <c r="A1358" s="485"/>
      <c r="B1358" s="354" t="s">
        <v>808</v>
      </c>
      <c r="C1358" s="434">
        <f>18+3.26</f>
        <v>21.26</v>
      </c>
      <c r="D1358" s="434">
        <v>3</v>
      </c>
      <c r="E1358" s="566">
        <f>(0.8*2.1)+(1*1.2)+(1*0.8)</f>
        <v>3.68</v>
      </c>
      <c r="F1358" s="566">
        <f t="shared" si="53"/>
        <v>20.58</v>
      </c>
    </row>
    <row r="1359" spans="1:6" ht="13">
      <c r="A1359" s="485"/>
      <c r="B1359" s="354" t="s">
        <v>838</v>
      </c>
      <c r="C1359" s="434">
        <f>2.36*3</f>
        <v>7.08</v>
      </c>
      <c r="D1359" s="434">
        <v>2.2999999999999998</v>
      </c>
      <c r="E1359" s="566">
        <v>0</v>
      </c>
      <c r="F1359" s="566">
        <f t="shared" si="53"/>
        <v>9.3800000000000008</v>
      </c>
    </row>
    <row r="1360" spans="1:6" ht="13">
      <c r="A1360" s="485"/>
      <c r="B1360" s="354" t="s">
        <v>839</v>
      </c>
      <c r="C1360" s="434">
        <f>1+1.24</f>
        <v>2.2400000000000002</v>
      </c>
      <c r="D1360" s="434">
        <v>2.2999999999999998</v>
      </c>
      <c r="E1360" s="566">
        <v>0</v>
      </c>
      <c r="F1360" s="566">
        <f t="shared" si="53"/>
        <v>4.54</v>
      </c>
    </row>
    <row r="1361" spans="1:6" ht="13">
      <c r="A1361" s="485"/>
      <c r="B1361" s="354" t="s">
        <v>840</v>
      </c>
      <c r="C1361" s="434">
        <f>3.24+2.24</f>
        <v>5.48</v>
      </c>
      <c r="D1361" s="434">
        <v>2.2999999999999998</v>
      </c>
      <c r="E1361" s="566">
        <v>0</v>
      </c>
      <c r="F1361" s="566">
        <f t="shared" si="53"/>
        <v>7.78</v>
      </c>
    </row>
    <row r="1362" spans="1:6" ht="13">
      <c r="A1362" s="485"/>
      <c r="B1362" s="354" t="s">
        <v>841</v>
      </c>
      <c r="C1362" s="434">
        <f>10.11+3.18+25.45+36.91+42.13+9.39</f>
        <v>127.17</v>
      </c>
      <c r="D1362" s="434">
        <v>2</v>
      </c>
      <c r="E1362" s="566">
        <f>(0.8*2)+(4*2)</f>
        <v>9.60</v>
      </c>
      <c r="F1362" s="566">
        <f t="shared" si="53"/>
        <v>119.57</v>
      </c>
    </row>
    <row r="1363" spans="1:6" ht="13">
      <c r="A1363" s="485"/>
      <c r="B1363" s="354" t="s">
        <v>842</v>
      </c>
      <c r="C1363" s="569" t="s">
        <v>843</v>
      </c>
      <c r="D1363" s="570"/>
      <c r="E1363" s="571"/>
      <c r="F1363" s="566">
        <f>5.75*2</f>
        <v>11.50</v>
      </c>
    </row>
    <row r="1364" spans="1:6" ht="13">
      <c r="A1364" s="485"/>
      <c r="B1364" s="364" t="s">
        <v>844</v>
      </c>
      <c r="C1364" s="471"/>
      <c r="D1364" s="471"/>
      <c r="E1364" s="471"/>
      <c r="F1364" s="572"/>
    </row>
    <row r="1365" spans="1:6" ht="13">
      <c r="A1365" s="485"/>
      <c r="B1365" s="462" t="s">
        <v>845</v>
      </c>
      <c r="C1365" s="434">
        <v>93.23</v>
      </c>
      <c r="D1365" s="434">
        <v>3</v>
      </c>
      <c r="E1365" s="566">
        <f>(1.2*1)*15+(1*0.6)*2+(0.6*0.6)*13+(0.82*1.8)*2+(1.2*1)+(2.1*2)+(2.1*2)</f>
        <v>36.43</v>
      </c>
      <c r="F1365" s="566">
        <f t="shared" si="54" ref="F1365:F1366">(C1365+D1365)-E1365</f>
        <v>59.80</v>
      </c>
    </row>
    <row r="1366" spans="1:6" ht="13">
      <c r="A1366" s="485"/>
      <c r="B1366" s="354" t="s">
        <v>841</v>
      </c>
      <c r="C1366" s="434">
        <f>3.3+10.24+25.56+37.13+42.37+9.51</f>
        <v>128.11000000000001</v>
      </c>
      <c r="D1366" s="434">
        <v>2</v>
      </c>
      <c r="E1366" s="566">
        <f>(0.8*2)+(4*2)</f>
        <v>9.60</v>
      </c>
      <c r="F1366" s="566">
        <f t="shared" si="54"/>
        <v>120.51</v>
      </c>
    </row>
    <row r="1367" spans="1:6" ht="13">
      <c r="A1367" s="485"/>
      <c r="B1367" s="354" t="s">
        <v>842</v>
      </c>
      <c r="C1367" s="569" t="s">
        <v>843</v>
      </c>
      <c r="D1367" s="570"/>
      <c r="E1367" s="571"/>
      <c r="F1367" s="566">
        <f>5.75*2</f>
        <v>11.50</v>
      </c>
    </row>
    <row r="1368" spans="1:6" ht="13">
      <c r="A1368" s="485"/>
      <c r="B1368" s="567"/>
      <c r="C1368" s="567"/>
      <c r="D1368" s="434"/>
      <c r="E1368" s="567" t="s">
        <v>311</v>
      </c>
      <c r="F1368" s="568">
        <f>SUM(F1327:F1367)</f>
        <v>1569.45</v>
      </c>
    </row>
    <row r="1370" spans="1:7" ht="13">
      <c r="A1370" s="624" t="str">
        <f>medição!A156</f>
        <v>17.4</v>
      </c>
      <c r="B1370" s="628" t="str">
        <f>medição!B156</f>
        <v>PINTURA TINTA DE ACABAMENTO (PIGMENTADA) ESMALTE SINTÉTICO BRILHANTE EM MADEIRA, 2 DEMÃOS.</v>
      </c>
      <c r="C1370" s="628"/>
      <c r="D1370" s="628"/>
      <c r="E1370" s="628"/>
      <c r="F1370" s="628"/>
      <c r="G1370" s="628"/>
    </row>
    <row r="1371" spans="1:7" ht="13">
      <c r="A1371" s="432"/>
      <c r="B1371" s="364" t="s">
        <v>306</v>
      </c>
      <c r="C1371" s="364" t="s">
        <v>895</v>
      </c>
      <c r="D1371" s="364" t="s">
        <v>740</v>
      </c>
      <c r="E1371" s="364" t="s">
        <v>745</v>
      </c>
      <c r="F1371" s="364" t="s">
        <v>896</v>
      </c>
      <c r="G1371" s="364" t="s">
        <v>779</v>
      </c>
    </row>
    <row r="1372" spans="1:7" ht="13">
      <c r="A1372" s="432"/>
      <c r="B1372" s="596" t="s">
        <v>846</v>
      </c>
      <c r="C1372" s="434">
        <v>0.80</v>
      </c>
      <c r="D1372" s="434">
        <v>2.10</v>
      </c>
      <c r="E1372" s="493">
        <v>22</v>
      </c>
      <c r="F1372" s="493">
        <v>2</v>
      </c>
      <c r="G1372" s="629">
        <f>C1372*D1372*E1372*F1372</f>
        <v>73.92</v>
      </c>
    </row>
    <row r="1373" spans="1:7" ht="13">
      <c r="A1373" s="432"/>
      <c r="B1373" s="596" t="s">
        <v>850</v>
      </c>
      <c r="C1373" s="434">
        <v>0.90</v>
      </c>
      <c r="D1373" s="434">
        <v>2.10</v>
      </c>
      <c r="E1373" s="493">
        <v>2</v>
      </c>
      <c r="F1373" s="493">
        <v>2</v>
      </c>
      <c r="G1373" s="629">
        <f>C1373*D1373*E1373*F1373</f>
        <v>7.56</v>
      </c>
    </row>
    <row r="1374" spans="1:7" ht="13">
      <c r="A1374" s="432"/>
      <c r="B1374" s="630"/>
      <c r="C1374" s="630"/>
      <c r="D1374" s="630"/>
      <c r="E1374" s="354"/>
      <c r="F1374" s="630" t="s">
        <v>311</v>
      </c>
      <c r="G1374" s="631">
        <f>SUM(G1372:G1373)</f>
        <v>81.48</v>
      </c>
    </row>
    <row r="1376" spans="1:7" ht="38.25" customHeight="1">
      <c r="A1376" s="624" t="str">
        <f>medição!A157</f>
        <v>17.5</v>
      </c>
      <c r="B1376" s="487" t="str">
        <f>medição!B157</f>
        <v xml:space="preserve"> PINTURA COM TINTA ALQUÍDICA DE ACABAMENTO (ESMALTE SINTÉTICO ACETINADO) APLICADA A ROLO OU PINCEL SOBRE SUPERFÍCIES METÁLICAS (EXCETO PERFIL) EXECUTADO EM OBRA (02 DEMÃOS). AF_01/2020</v>
      </c>
      <c r="C1376" s="487"/>
      <c r="D1376" s="487"/>
      <c r="E1376" s="487"/>
      <c r="F1376" s="487"/>
      <c r="G1376" s="487"/>
    </row>
    <row r="1377" spans="1:7" ht="13">
      <c r="A1377" s="364"/>
      <c r="B1377" s="364" t="s">
        <v>306</v>
      </c>
      <c r="C1377" s="364" t="s">
        <v>308</v>
      </c>
      <c r="D1377" s="364" t="s">
        <v>740</v>
      </c>
      <c r="E1377" s="364" t="s">
        <v>847</v>
      </c>
      <c r="F1377" s="364" t="s">
        <v>897</v>
      </c>
      <c r="G1377" s="632" t="s">
        <v>779</v>
      </c>
    </row>
    <row r="1378" spans="1:7" ht="13">
      <c r="A1378" s="364"/>
      <c r="B1378" s="575" t="s">
        <v>851</v>
      </c>
      <c r="C1378" s="582">
        <v>1.20</v>
      </c>
      <c r="D1378" s="582">
        <v>1</v>
      </c>
      <c r="E1378" s="576">
        <v>2</v>
      </c>
      <c r="F1378" s="493">
        <v>2</v>
      </c>
      <c r="G1378" s="566">
        <f t="shared" si="55" ref="G1378:G1382">C1378*D1378*E1378*F1378</f>
        <v>4.80</v>
      </c>
    </row>
    <row r="1379" spans="1:7" ht="13">
      <c r="A1379" s="364"/>
      <c r="B1379" s="575" t="s">
        <v>852</v>
      </c>
      <c r="C1379" s="582">
        <v>1.60</v>
      </c>
      <c r="D1379" s="582">
        <v>2</v>
      </c>
      <c r="E1379" s="576">
        <v>2</v>
      </c>
      <c r="F1379" s="493">
        <v>2</v>
      </c>
      <c r="G1379" s="566">
        <f t="shared" si="55"/>
        <v>12.80</v>
      </c>
    </row>
    <row r="1380" spans="1:7" ht="13">
      <c r="A1380" s="364"/>
      <c r="B1380" s="575" t="s">
        <v>853</v>
      </c>
      <c r="C1380" s="582">
        <v>0.80</v>
      </c>
      <c r="D1380" s="582">
        <v>2</v>
      </c>
      <c r="E1380" s="576">
        <v>1</v>
      </c>
      <c r="F1380" s="493">
        <v>2</v>
      </c>
      <c r="G1380" s="566">
        <f t="shared" si="55"/>
        <v>3.20</v>
      </c>
    </row>
    <row r="1381" spans="1:7" ht="13">
      <c r="A1381" s="364"/>
      <c r="B1381" s="575" t="s">
        <v>854</v>
      </c>
      <c r="C1381" s="582">
        <v>0.90</v>
      </c>
      <c r="D1381" s="582">
        <v>2.2000000000000002</v>
      </c>
      <c r="E1381" s="576">
        <v>1</v>
      </c>
      <c r="F1381" s="493">
        <v>2</v>
      </c>
      <c r="G1381" s="566">
        <f t="shared" si="55"/>
        <v>3.96</v>
      </c>
    </row>
    <row r="1382" spans="1:7" ht="13">
      <c r="A1382" s="364"/>
      <c r="B1382" s="575" t="s">
        <v>855</v>
      </c>
      <c r="C1382" s="582">
        <v>1.20</v>
      </c>
      <c r="D1382" s="582">
        <v>2</v>
      </c>
      <c r="E1382" s="576">
        <v>1</v>
      </c>
      <c r="F1382" s="493">
        <v>2</v>
      </c>
      <c r="G1382" s="566">
        <f t="shared" si="55"/>
        <v>4.80</v>
      </c>
    </row>
    <row r="1383" spans="1:7" ht="13">
      <c r="A1383" s="364"/>
      <c r="B1383" s="354"/>
      <c r="C1383" s="354"/>
      <c r="D1383" s="489"/>
      <c r="E1383" s="567"/>
      <c r="F1383" s="567" t="s">
        <v>311</v>
      </c>
      <c r="G1383" s="568">
        <f>SUM(G1378:G1382)</f>
        <v>29.56</v>
      </c>
    </row>
    <row r="1385" spans="1:3" ht="13">
      <c r="A1385" s="350" t="str">
        <f>medição!A160</f>
        <v>18.1</v>
      </c>
      <c r="B1385" s="470" t="str">
        <f>medição!B160</f>
        <v>LIMPEZA GERAL E ENTREGA DA OBRA</v>
      </c>
      <c r="C1385" s="572"/>
    </row>
    <row r="1386" spans="1:3" ht="13">
      <c r="A1386" s="432"/>
      <c r="B1386" s="364" t="s">
        <v>306</v>
      </c>
      <c r="C1386" s="364" t="s">
        <v>309</v>
      </c>
    </row>
    <row r="1387" spans="1:3" ht="13">
      <c r="A1387" s="432"/>
      <c r="B1387" s="354" t="s">
        <v>746</v>
      </c>
      <c r="C1387" s="435">
        <v>645</v>
      </c>
    </row>
    <row r="1388" spans="1:3" ht="13">
      <c r="A1388" s="432"/>
      <c r="B1388" s="441" t="s">
        <v>311</v>
      </c>
      <c r="C1388" s="437">
        <f>SUM(C1387:C1387)</f>
        <v>645</v>
      </c>
    </row>
    <row r="1389" spans="1:3" s="454" customFormat="1" ht="13">
      <c r="A1389" s="594"/>
      <c r="B1389" s="531"/>
      <c r="C1389" s="532"/>
    </row>
    <row r="1390" spans="1:3" ht="13">
      <c r="A1390" s="633" t="str">
        <f>medição!A161</f>
        <v>18.2</v>
      </c>
      <c r="B1390" s="634" t="str">
        <f>medição!B161</f>
        <v>Placa de inauguração em aço inox/letras bx. relevo- (40 x 30cm)</v>
      </c>
      <c r="C1390" s="351"/>
    </row>
    <row r="1391" spans="1:3" ht="13">
      <c r="A1391" s="432"/>
      <c r="B1391" s="364" t="s">
        <v>306</v>
      </c>
      <c r="C1391" s="364" t="s">
        <v>745</v>
      </c>
    </row>
    <row r="1392" spans="1:3" ht="13">
      <c r="A1392" s="635"/>
      <c r="B1392" s="354" t="s">
        <v>898</v>
      </c>
      <c r="C1392" s="493">
        <v>1</v>
      </c>
    </row>
    <row r="1393" spans="1:3" ht="13">
      <c r="A1393" s="635"/>
      <c r="B1393" s="630" t="s">
        <v>311</v>
      </c>
      <c r="C1393" s="463">
        <f>C1392</f>
        <v>1</v>
      </c>
    </row>
    <row r="1397" spans="1:1" ht="13">
      <c r="A1397" s="418"/>
    </row>
    <row r="1398" spans="1:1" ht="13">
      <c r="A1398" s="418"/>
    </row>
    <row r="1400" spans="1:1" ht="13">
      <c r="A1400" s="636" t="s">
        <v>206</v>
      </c>
    </row>
    <row r="1401" spans="1:1" ht="13">
      <c r="A1401" s="636" t="s">
        <v>899</v>
      </c>
    </row>
  </sheetData>
  <mergeCells count="141">
    <mergeCell ref="C1363:E1363"/>
    <mergeCell ref="C1367:E1367"/>
    <mergeCell ref="B1370:G1370"/>
    <mergeCell ref="B1376:G1376"/>
    <mergeCell ref="B1280:F1280"/>
    <mergeCell ref="C1277:E1277"/>
    <mergeCell ref="C1273:E1273"/>
    <mergeCell ref="C1318:E1318"/>
    <mergeCell ref="C1321:E1321"/>
    <mergeCell ref="B1324:F1324"/>
    <mergeCell ref="B1157:C1157"/>
    <mergeCell ref="B1169:C1169"/>
    <mergeCell ref="B1184:C1184"/>
    <mergeCell ref="B1191:C1191"/>
    <mergeCell ref="B1214:J1214"/>
    <mergeCell ref="B1216:C1216"/>
    <mergeCell ref="B1222:C1222"/>
    <mergeCell ref="B1232:J1232"/>
    <mergeCell ref="B1234:F1234"/>
    <mergeCell ref="B1197:J1197"/>
    <mergeCell ref="B1199:C1199"/>
    <mergeCell ref="B1204:C1204"/>
    <mergeCell ref="B1209:C1209"/>
    <mergeCell ref="B1066:J1066"/>
    <mergeCell ref="B1068:C1068"/>
    <mergeCell ref="B1080:C1080"/>
    <mergeCell ref="B1092:C1092"/>
    <mergeCell ref="B1106:C1106"/>
    <mergeCell ref="B1118:C1118"/>
    <mergeCell ref="B1124:C1124"/>
    <mergeCell ref="B1136:C1136"/>
    <mergeCell ref="B1146:C1146"/>
    <mergeCell ref="B884:C884"/>
    <mergeCell ref="B908:C908"/>
    <mergeCell ref="B914:C914"/>
    <mergeCell ref="B920:C920"/>
    <mergeCell ref="B890:C890"/>
    <mergeCell ref="B896:C896"/>
    <mergeCell ref="B902:C902"/>
    <mergeCell ref="B1054:C1054"/>
    <mergeCell ref="B1060:C1060"/>
    <mergeCell ref="B952:C952"/>
    <mergeCell ref="B958:C958"/>
    <mergeCell ref="B964:C964"/>
    <mergeCell ref="B970:C970"/>
    <mergeCell ref="B976:C976"/>
    <mergeCell ref="B926:C926"/>
    <mergeCell ref="B932:J932"/>
    <mergeCell ref="B934:C934"/>
    <mergeCell ref="B940:C940"/>
    <mergeCell ref="B946:C946"/>
    <mergeCell ref="B1042:C1042"/>
    <mergeCell ref="B1048:C1048"/>
    <mergeCell ref="B1012:C1012"/>
    <mergeCell ref="B1018:C1018"/>
    <mergeCell ref="B1024:C1024"/>
    <mergeCell ref="B829:C829"/>
    <mergeCell ref="B835:C835"/>
    <mergeCell ref="B842:C842"/>
    <mergeCell ref="B848:C848"/>
    <mergeCell ref="B866:C866"/>
    <mergeCell ref="B872:C872"/>
    <mergeCell ref="B860:C860"/>
    <mergeCell ref="B854:C854"/>
    <mergeCell ref="B878:C878"/>
    <mergeCell ref="B491:C491"/>
    <mergeCell ref="B498:C498"/>
    <mergeCell ref="B503:C503"/>
    <mergeCell ref="B513:C513"/>
    <mergeCell ref="B518:C518"/>
    <mergeCell ref="B496:J496"/>
    <mergeCell ref="B605:C605"/>
    <mergeCell ref="B553:C553"/>
    <mergeCell ref="B558:C558"/>
    <mergeCell ref="B563:C563"/>
    <mergeCell ref="B568:C568"/>
    <mergeCell ref="C331:E331"/>
    <mergeCell ref="C335:E335"/>
    <mergeCell ref="C377:E377"/>
    <mergeCell ref="C381:E381"/>
    <mergeCell ref="B435:C435"/>
    <mergeCell ref="B475:D475"/>
    <mergeCell ref="B482:C482"/>
    <mergeCell ref="B384:J384"/>
    <mergeCell ref="B403:J403"/>
    <mergeCell ref="B424:C424"/>
    <mergeCell ref="B422:J422"/>
    <mergeCell ref="B460:F460"/>
    <mergeCell ref="B465:D465"/>
    <mergeCell ref="B429:F429"/>
    <mergeCell ref="B440:F440"/>
    <mergeCell ref="B454:F454"/>
    <mergeCell ref="B449:F449"/>
    <mergeCell ref="A1:B1"/>
    <mergeCell ref="A2:B2"/>
    <mergeCell ref="A3:B3"/>
    <mergeCell ref="B192:F192"/>
    <mergeCell ref="B132:F132"/>
    <mergeCell ref="A5:J5"/>
    <mergeCell ref="B9:J9"/>
    <mergeCell ref="B7:J7"/>
    <mergeCell ref="B11:E11"/>
    <mergeCell ref="B31:E31"/>
    <mergeCell ref="B57:G57"/>
    <mergeCell ref="B90:E90"/>
    <mergeCell ref="B95:E95"/>
    <mergeCell ref="B16:E16"/>
    <mergeCell ref="B21:E21"/>
    <mergeCell ref="B26:E26"/>
    <mergeCell ref="B85:E85"/>
    <mergeCell ref="B55:J55"/>
    <mergeCell ref="B130:J130"/>
    <mergeCell ref="B190:J190"/>
    <mergeCell ref="B36:J36"/>
    <mergeCell ref="B48:J48"/>
    <mergeCell ref="B38:C38"/>
    <mergeCell ref="B43:C43"/>
    <mergeCell ref="B1030:C1030"/>
    <mergeCell ref="B1036:C1036"/>
    <mergeCell ref="B982:C982"/>
    <mergeCell ref="B988:C988"/>
    <mergeCell ref="B994:C994"/>
    <mergeCell ref="B1000:C1000"/>
    <mergeCell ref="B1006:C1006"/>
    <mergeCell ref="B160:J160"/>
    <mergeCell ref="B720:C720"/>
    <mergeCell ref="B757:C757"/>
    <mergeCell ref="B794:C794"/>
    <mergeCell ref="B718:J718"/>
    <mergeCell ref="B808:C808"/>
    <mergeCell ref="B643:C643"/>
    <mergeCell ref="B679:E679"/>
    <mergeCell ref="B703:C703"/>
    <mergeCell ref="B712:C712"/>
    <mergeCell ref="B221:G221"/>
    <mergeCell ref="B219:J219"/>
    <mergeCell ref="B213:F213"/>
    <mergeCell ref="B250:J250"/>
    <mergeCell ref="B252:F252"/>
    <mergeCell ref="B292:J292"/>
    <mergeCell ref="B338:J338"/>
  </mergeCells>
  <printOptions horizontalCentered="1"/>
  <pageMargins left="0.7086614173228347" right="0.7086614173228347" top="0.7480314960629921" bottom="0.7480314960629921" header="0.31496062992125984" footer="0.31496062992125984"/>
  <pageSetup fitToHeight="17" horizontalDpi="360" verticalDpi="360" orientation="portrait" paperSize="9" scale="60" r:id="rId2"/>
  <headerFooter>
    <oddFooter>&amp;CPágina &amp;P de &amp;N</oddFooter>
  </headerFooter>
  <rowBreaks count="3" manualBreakCount="3">
    <brk id="793" max="9" man="1"/>
    <brk id="877" max="9" man="1"/>
    <brk id="120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5a79ac1-fc89-4c49-aabc-7b57c74b0638}">
  <sheetPr>
    <pageSetUpPr fitToPage="1"/>
  </sheetPr>
  <dimension ref="A1:P131"/>
  <sheetViews>
    <sheetView showGridLines="0" view="pageBreakPreview" zoomScaleNormal="100" zoomScaleSheetLayoutView="100" workbookViewId="0" topLeftCell="B70">
      <selection pane="topLeft" activeCell="F108" sqref="F108"/>
    </sheetView>
  </sheetViews>
  <sheetFormatPr defaultColWidth="9.184285714285714" defaultRowHeight="13" customHeight="1"/>
  <cols>
    <col min="1" max="1" width="7.571428571428571" style="92" customWidth="1"/>
    <col min="2" max="2" width="9.857142857142858" style="92" bestFit="1" customWidth="1"/>
    <col min="3" max="3" width="65.57142857142857" style="92" bestFit="1" customWidth="1"/>
    <col min="4" max="4" width="4.142857142857143" style="92" bestFit="1" customWidth="1"/>
    <col min="5" max="5" width="11.428571428571429" style="92" bestFit="1" customWidth="1"/>
    <col min="6" max="6" width="10" style="92" bestFit="1" customWidth="1"/>
    <col min="7" max="7" width="13.571428571428571" style="92" bestFit="1" customWidth="1"/>
    <col min="8" max="8" width="9.142857142857142" style="92"/>
    <col min="9" max="9" width="13" style="92" bestFit="1" customWidth="1"/>
    <col min="10" max="10" width="12" style="92" bestFit="1" customWidth="1"/>
    <col min="11" max="11" width="12.428571428571429" style="92" bestFit="1" customWidth="1"/>
    <col min="12" max="12" width="13.857142857142858" style="92" bestFit="1" customWidth="1"/>
    <col min="13" max="13" width="10.571428571428571" style="92" bestFit="1" customWidth="1"/>
    <col min="14" max="14" width="15.714285714285714" style="92" bestFit="1" customWidth="1"/>
    <col min="15" max="15" width="15.285714285714286" style="92" bestFit="1" customWidth="1"/>
    <col min="16" max="16384" width="9.142857142857142" style="92"/>
  </cols>
  <sheetData>
    <row r="1" spans="1:7" ht="13">
      <c r="A1" s="63" t="str">
        <f>BM!A1</f>
        <v>ESTADO DO PARÁ</v>
      </c>
      <c r="B1" s="63"/>
      <c r="C1" s="63"/>
      <c r="D1" s="63"/>
      <c r="E1" s="64"/>
      <c r="F1" s="64"/>
      <c r="G1" s="64"/>
    </row>
    <row r="2" spans="1:7" ht="13">
      <c r="A2" s="63" t="str">
        <f>BM!A2</f>
        <v>PREFEITURA MUNICIPAL DE TERRA SANTA</v>
      </c>
      <c r="B2" s="63"/>
      <c r="C2" s="63"/>
      <c r="D2" s="63"/>
      <c r="E2" s="64"/>
      <c r="F2" s="64"/>
      <c r="G2" s="64"/>
    </row>
    <row r="3" spans="1:7" ht="13">
      <c r="A3" s="63" t="str">
        <f>BM!A3</f>
        <v>OBRA: PAVIMENTAÇÃO EM CONCRETO DE VIAS URBANAS DO MUNICÍPIO DE TERRA SANTA</v>
      </c>
      <c r="B3" s="2"/>
      <c r="C3" s="2"/>
      <c r="D3" s="2"/>
      <c r="E3" s="2"/>
      <c r="F3" s="2"/>
      <c r="G3" s="7"/>
    </row>
    <row r="4" spans="1:7" ht="13">
      <c r="A4" s="2" t="str">
        <f>BM!A6</f>
        <v>LICITAÇÃO: CONCORRÊNCIA 01/2023</v>
      </c>
      <c r="B4" s="2"/>
      <c r="C4" s="2"/>
      <c r="D4" s="2"/>
      <c r="E4" s="2"/>
      <c r="F4" s="2"/>
      <c r="G4" s="65"/>
    </row>
    <row r="5" spans="1:7" ht="13">
      <c r="A5" s="2"/>
      <c r="B5" s="2"/>
      <c r="C5" s="2"/>
      <c r="D5" s="2"/>
      <c r="E5" s="2"/>
      <c r="F5" s="2"/>
      <c r="G5" s="65"/>
    </row>
    <row r="6" spans="1:7" ht="13">
      <c r="A6" s="66" t="s">
        <v>53</v>
      </c>
      <c r="B6" s="66"/>
      <c r="C6" s="66"/>
      <c r="D6" s="66"/>
      <c r="E6" s="66"/>
      <c r="F6" s="66"/>
      <c r="G6" s="66"/>
    </row>
    <row r="7" spans="1:10" ht="13">
      <c r="A7" s="66"/>
      <c r="B7" s="66"/>
      <c r="C7" s="66"/>
      <c r="D7" s="66"/>
      <c r="E7" s="66"/>
      <c r="F7" s="66"/>
      <c r="G7" s="66"/>
      <c r="I7" s="67"/>
      <c r="J7" s="67"/>
    </row>
    <row r="8" spans="1:10" ht="13">
      <c r="A8" s="28" t="str">
        <f>BM!A13</f>
        <v>1.0</v>
      </c>
      <c r="B8" s="29" t="str">
        <f>BM!B13</f>
        <v>SERVIÇOS PRELIMINARES</v>
      </c>
      <c r="C8" s="29"/>
      <c r="D8" s="29"/>
      <c r="E8" s="29"/>
      <c r="F8" s="29"/>
      <c r="G8" s="29"/>
      <c r="I8" s="67"/>
      <c r="J8" s="67"/>
    </row>
    <row r="9" spans="1:10" ht="13">
      <c r="A9" s="66"/>
      <c r="B9" s="66"/>
      <c r="C9" s="66"/>
      <c r="D9" s="66"/>
      <c r="E9" s="66"/>
      <c r="F9" s="66"/>
      <c r="G9" s="66"/>
      <c r="I9" s="67"/>
      <c r="J9" s="67"/>
    </row>
    <row r="10" spans="1:10" ht="26">
      <c r="A10" s="28" t="e">
        <f>#REF!</f>
        <v>#REF!</v>
      </c>
      <c r="B10" s="28" t="str">
        <f>BM!A14</f>
        <v>1.1</v>
      </c>
      <c r="C10" s="68" t="str">
        <f>BM!B14</f>
        <v>EXECUÇÃO DE ALMOXARIFADO EM CANTEIRO DE OBRA EM CHAPA DE MADEIRA COMPENSADA, INCLUSO PRATELEIRAS</v>
      </c>
      <c r="D10" s="69" t="str">
        <f>BM!C14</f>
        <v>m²</v>
      </c>
      <c r="E10" s="28"/>
      <c r="F10" s="28"/>
      <c r="G10" s="28"/>
      <c r="I10" s="67"/>
      <c r="J10" s="67"/>
    </row>
    <row r="11" spans="1:10" ht="13">
      <c r="A11" s="28" t="s">
        <v>54</v>
      </c>
      <c r="B11" s="28" t="s">
        <v>55</v>
      </c>
      <c r="C11" s="28" t="s">
        <v>10</v>
      </c>
      <c r="D11" s="28" t="s">
        <v>11</v>
      </c>
      <c r="E11" s="28" t="s">
        <v>56</v>
      </c>
      <c r="F11" s="69" t="s">
        <v>57</v>
      </c>
      <c r="G11" s="70" t="s">
        <v>14</v>
      </c>
      <c r="I11" s="67"/>
      <c r="J11" s="67"/>
    </row>
    <row r="12" spans="1:10" ht="13">
      <c r="A12" s="30" t="s">
        <v>58</v>
      </c>
      <c r="B12" s="71" t="s">
        <v>59</v>
      </c>
      <c r="C12" s="72" t="s">
        <v>60</v>
      </c>
      <c r="D12" s="73" t="s">
        <v>61</v>
      </c>
      <c r="E12" s="74">
        <v>0.97940000000000005</v>
      </c>
      <c r="F12" s="75">
        <v>26.05</v>
      </c>
      <c r="G12" s="75">
        <f>F12*E12</f>
        <v>25.51</v>
      </c>
      <c r="I12" s="67"/>
      <c r="J12" s="67"/>
    </row>
    <row r="13" spans="1:10" ht="26">
      <c r="A13" s="30" t="s">
        <v>58</v>
      </c>
      <c r="B13" s="71" t="s">
        <v>62</v>
      </c>
      <c r="C13" s="72" t="s">
        <v>63</v>
      </c>
      <c r="D13" s="73" t="s">
        <v>24</v>
      </c>
      <c r="E13" s="74">
        <v>3.7454999999999998</v>
      </c>
      <c r="F13" s="75">
        <v>16.41</v>
      </c>
      <c r="G13" s="75">
        <f t="shared" si="0" ref="G13:G53">F13*E13</f>
        <v>61.46</v>
      </c>
      <c r="I13" s="67"/>
      <c r="J13" s="67"/>
    </row>
    <row r="14" spans="1:10" ht="52">
      <c r="A14" s="30" t="s">
        <v>58</v>
      </c>
      <c r="B14" s="71" t="s">
        <v>64</v>
      </c>
      <c r="C14" s="72" t="s">
        <v>65</v>
      </c>
      <c r="D14" s="73" t="s">
        <v>66</v>
      </c>
      <c r="E14" s="74">
        <v>0.2515</v>
      </c>
      <c r="F14" s="75">
        <v>3</v>
      </c>
      <c r="G14" s="75">
        <f t="shared" si="0"/>
        <v>0.75</v>
      </c>
      <c r="I14" s="67"/>
      <c r="J14" s="67"/>
    </row>
    <row r="15" spans="1:10" ht="39">
      <c r="A15" s="30" t="s">
        <v>58</v>
      </c>
      <c r="B15" s="71" t="s">
        <v>67</v>
      </c>
      <c r="C15" s="72" t="s">
        <v>68</v>
      </c>
      <c r="D15" s="73" t="s">
        <v>66</v>
      </c>
      <c r="E15" s="74">
        <v>0.2266</v>
      </c>
      <c r="F15" s="75">
        <v>1.51</v>
      </c>
      <c r="G15" s="75">
        <f t="shared" si="0"/>
        <v>0.34</v>
      </c>
      <c r="I15" s="67"/>
      <c r="J15" s="67"/>
    </row>
    <row r="16" spans="1:10" ht="26">
      <c r="A16" s="30" t="s">
        <v>58</v>
      </c>
      <c r="B16" s="71" t="s">
        <v>69</v>
      </c>
      <c r="C16" s="72" t="s">
        <v>70</v>
      </c>
      <c r="D16" s="73" t="s">
        <v>24</v>
      </c>
      <c r="E16" s="74">
        <v>0.063399999999999998</v>
      </c>
      <c r="F16" s="75">
        <v>462.52</v>
      </c>
      <c r="G16" s="75">
        <f t="shared" si="0"/>
        <v>29.32</v>
      </c>
      <c r="I16" s="67"/>
      <c r="J16" s="67"/>
    </row>
    <row r="17" spans="1:10" ht="26">
      <c r="A17" s="30" t="s">
        <v>58</v>
      </c>
      <c r="B17" s="71" t="s">
        <v>71</v>
      </c>
      <c r="C17" s="72" t="s">
        <v>72</v>
      </c>
      <c r="D17" s="73" t="s">
        <v>66</v>
      </c>
      <c r="E17" s="74">
        <v>0.25180000000000002</v>
      </c>
      <c r="F17" s="75">
        <v>10.18</v>
      </c>
      <c r="G17" s="75">
        <f t="shared" si="0"/>
        <v>2.56</v>
      </c>
      <c r="I17" s="67"/>
      <c r="J17" s="67"/>
    </row>
    <row r="18" spans="1:10" ht="26">
      <c r="A18" s="30" t="s">
        <v>58</v>
      </c>
      <c r="B18" s="71" t="s">
        <v>73</v>
      </c>
      <c r="C18" s="72" t="s">
        <v>74</v>
      </c>
      <c r="D18" s="73" t="s">
        <v>66</v>
      </c>
      <c r="E18" s="74">
        <v>0.2266</v>
      </c>
      <c r="F18" s="75">
        <v>11.40</v>
      </c>
      <c r="G18" s="75">
        <f t="shared" si="0"/>
        <v>2.58</v>
      </c>
      <c r="I18" s="67"/>
      <c r="J18" s="67"/>
    </row>
    <row r="19" spans="1:10" ht="39">
      <c r="A19" s="30" t="s">
        <v>58</v>
      </c>
      <c r="B19" s="71" t="s">
        <v>75</v>
      </c>
      <c r="C19" s="72" t="s">
        <v>76</v>
      </c>
      <c r="D19" s="73" t="s">
        <v>77</v>
      </c>
      <c r="E19" s="74">
        <v>0.075499999999999998</v>
      </c>
      <c r="F19" s="75">
        <v>13.44</v>
      </c>
      <c r="G19" s="75">
        <f t="shared" si="0"/>
        <v>1.01</v>
      </c>
      <c r="I19" s="67"/>
      <c r="J19" s="67"/>
    </row>
    <row r="20" spans="1:10" ht="26">
      <c r="A20" s="30" t="s">
        <v>58</v>
      </c>
      <c r="B20" s="71" t="s">
        <v>78</v>
      </c>
      <c r="C20" s="72" t="s">
        <v>79</v>
      </c>
      <c r="D20" s="73" t="s">
        <v>66</v>
      </c>
      <c r="E20" s="74">
        <v>0.62190000000000001</v>
      </c>
      <c r="F20" s="75">
        <v>2.95</v>
      </c>
      <c r="G20" s="75">
        <f t="shared" si="0"/>
        <v>1.83</v>
      </c>
      <c r="I20" s="67"/>
      <c r="J20" s="67"/>
    </row>
    <row r="21" spans="1:10" ht="26">
      <c r="A21" s="30" t="s">
        <v>58</v>
      </c>
      <c r="B21" s="71" t="s">
        <v>80</v>
      </c>
      <c r="C21" s="72" t="s">
        <v>81</v>
      </c>
      <c r="D21" s="73" t="s">
        <v>66</v>
      </c>
      <c r="E21" s="74">
        <v>0.67800000000000005</v>
      </c>
      <c r="F21" s="75">
        <v>4.25</v>
      </c>
      <c r="G21" s="75">
        <f t="shared" si="0"/>
        <v>2.88</v>
      </c>
      <c r="I21" s="67"/>
      <c r="J21" s="67"/>
    </row>
    <row r="22" spans="1:10" ht="26">
      <c r="A22" s="30" t="s">
        <v>58</v>
      </c>
      <c r="B22" s="71" t="s">
        <v>82</v>
      </c>
      <c r="C22" s="72" t="s">
        <v>83</v>
      </c>
      <c r="D22" s="73" t="s">
        <v>77</v>
      </c>
      <c r="E22" s="74">
        <v>0.125</v>
      </c>
      <c r="F22" s="75">
        <v>11.65</v>
      </c>
      <c r="G22" s="75">
        <f t="shared" si="0"/>
        <v>1.46</v>
      </c>
      <c r="I22" s="67"/>
      <c r="J22" s="67"/>
    </row>
    <row r="23" spans="1:10" ht="26">
      <c r="A23" s="30" t="s">
        <v>58</v>
      </c>
      <c r="B23" s="71" t="s">
        <v>84</v>
      </c>
      <c r="C23" s="72" t="s">
        <v>85</v>
      </c>
      <c r="D23" s="73" t="s">
        <v>77</v>
      </c>
      <c r="E23" s="74">
        <v>0.05</v>
      </c>
      <c r="F23" s="75">
        <v>26.95</v>
      </c>
      <c r="G23" s="75">
        <f t="shared" si="0"/>
        <v>1.35</v>
      </c>
      <c r="I23" s="67"/>
      <c r="J23" s="67"/>
    </row>
    <row r="24" spans="1:10" ht="26">
      <c r="A24" s="30" t="s">
        <v>58</v>
      </c>
      <c r="B24" s="71" t="s">
        <v>86</v>
      </c>
      <c r="C24" s="72" t="s">
        <v>87</v>
      </c>
      <c r="D24" s="73" t="s">
        <v>77</v>
      </c>
      <c r="E24" s="74">
        <v>0.0252</v>
      </c>
      <c r="F24" s="75">
        <v>65.180000000000007</v>
      </c>
      <c r="G24" s="75">
        <f t="shared" si="0"/>
        <v>1.64</v>
      </c>
      <c r="I24" s="67"/>
      <c r="J24" s="67"/>
    </row>
    <row r="25" spans="1:10" ht="39">
      <c r="A25" s="30" t="s">
        <v>58</v>
      </c>
      <c r="B25" s="71" t="s">
        <v>88</v>
      </c>
      <c r="C25" s="72" t="s">
        <v>89</v>
      </c>
      <c r="D25" s="73" t="s">
        <v>24</v>
      </c>
      <c r="E25" s="74">
        <v>1.4390000000000001</v>
      </c>
      <c r="F25" s="75">
        <v>17.72</v>
      </c>
      <c r="G25" s="75">
        <f t="shared" si="0"/>
        <v>25.50</v>
      </c>
      <c r="I25" s="67"/>
      <c r="J25" s="67"/>
    </row>
    <row r="26" spans="1:10" ht="26">
      <c r="A26" s="30" t="s">
        <v>58</v>
      </c>
      <c r="B26" s="71" t="s">
        <v>90</v>
      </c>
      <c r="C26" s="72" t="s">
        <v>91</v>
      </c>
      <c r="D26" s="73" t="s">
        <v>45</v>
      </c>
      <c r="E26" s="74">
        <v>0.026200000000000001</v>
      </c>
      <c r="F26" s="75">
        <v>82.95</v>
      </c>
      <c r="G26" s="75">
        <f t="shared" si="0"/>
        <v>2.17</v>
      </c>
      <c r="I26" s="67"/>
      <c r="J26" s="67"/>
    </row>
    <row r="27" spans="1:10" ht="39">
      <c r="A27" s="30" t="s">
        <v>58</v>
      </c>
      <c r="B27" s="71" t="s">
        <v>92</v>
      </c>
      <c r="C27" s="72" t="s">
        <v>93</v>
      </c>
      <c r="D27" s="73" t="s">
        <v>24</v>
      </c>
      <c r="E27" s="74">
        <v>1.4396</v>
      </c>
      <c r="F27" s="75">
        <v>77.55</v>
      </c>
      <c r="G27" s="75">
        <f t="shared" si="0"/>
        <v>111.64</v>
      </c>
      <c r="I27" s="67"/>
      <c r="J27" s="67"/>
    </row>
    <row r="28" spans="1:10" ht="39">
      <c r="A28" s="30" t="s">
        <v>58</v>
      </c>
      <c r="B28" s="71" t="s">
        <v>94</v>
      </c>
      <c r="C28" s="72" t="s">
        <v>95</v>
      </c>
      <c r="D28" s="73" t="s">
        <v>24</v>
      </c>
      <c r="E28" s="74">
        <v>0.075499999999999998</v>
      </c>
      <c r="F28" s="75">
        <v>822.02</v>
      </c>
      <c r="G28" s="75">
        <f t="shared" si="0"/>
        <v>62.06</v>
      </c>
      <c r="I28" s="67"/>
      <c r="J28" s="67"/>
    </row>
    <row r="29" spans="1:10" ht="26">
      <c r="A29" s="30" t="s">
        <v>58</v>
      </c>
      <c r="B29" s="71" t="s">
        <v>96</v>
      </c>
      <c r="C29" s="72" t="s">
        <v>97</v>
      </c>
      <c r="D29" s="73" t="s">
        <v>24</v>
      </c>
      <c r="E29" s="74">
        <v>0.0060000000000000001</v>
      </c>
      <c r="F29" s="75">
        <v>21.74</v>
      </c>
      <c r="G29" s="75">
        <f t="shared" si="0"/>
        <v>0.13</v>
      </c>
      <c r="I29" s="67"/>
      <c r="J29" s="67"/>
    </row>
    <row r="30" spans="1:10" ht="26">
      <c r="A30" s="30" t="s">
        <v>58</v>
      </c>
      <c r="B30" s="71" t="s">
        <v>98</v>
      </c>
      <c r="C30" s="72" t="s">
        <v>99</v>
      </c>
      <c r="D30" s="73" t="s">
        <v>24</v>
      </c>
      <c r="E30" s="74">
        <v>1.4395</v>
      </c>
      <c r="F30" s="75">
        <v>36.25</v>
      </c>
      <c r="G30" s="75">
        <f t="shared" si="0"/>
        <v>52.18</v>
      </c>
      <c r="I30" s="67"/>
      <c r="J30" s="67"/>
    </row>
    <row r="31" spans="1:10" ht="26">
      <c r="A31" s="30" t="s">
        <v>58</v>
      </c>
      <c r="B31" s="71" t="s">
        <v>100</v>
      </c>
      <c r="C31" s="72" t="s">
        <v>101</v>
      </c>
      <c r="D31" s="73" t="s">
        <v>77</v>
      </c>
      <c r="E31" s="74">
        <v>0.05</v>
      </c>
      <c r="F31" s="75">
        <v>23.53</v>
      </c>
      <c r="G31" s="75">
        <f t="shared" si="0"/>
        <v>1.18</v>
      </c>
      <c r="I31" s="67"/>
      <c r="J31" s="67"/>
    </row>
    <row r="32" spans="1:10" ht="26">
      <c r="A32" s="30" t="s">
        <v>58</v>
      </c>
      <c r="B32" s="71" t="s">
        <v>102</v>
      </c>
      <c r="C32" s="72" t="s">
        <v>103</v>
      </c>
      <c r="D32" s="73" t="s">
        <v>77</v>
      </c>
      <c r="E32" s="74">
        <v>0.024500000000000001</v>
      </c>
      <c r="F32" s="75">
        <v>19.829999999999998</v>
      </c>
      <c r="G32" s="75">
        <f t="shared" si="0"/>
        <v>0.49</v>
      </c>
      <c r="I32" s="67"/>
      <c r="J32" s="67"/>
    </row>
    <row r="33" spans="1:10" ht="13">
      <c r="A33" s="30" t="s">
        <v>58</v>
      </c>
      <c r="B33" s="71" t="s">
        <v>104</v>
      </c>
      <c r="C33" s="72" t="s">
        <v>105</v>
      </c>
      <c r="D33" s="73" t="s">
        <v>45</v>
      </c>
      <c r="E33" s="74">
        <v>0.0064999999999999997</v>
      </c>
      <c r="F33" s="75">
        <v>50.29</v>
      </c>
      <c r="G33" s="75">
        <f t="shared" si="0"/>
        <v>0.33</v>
      </c>
      <c r="I33" s="67"/>
      <c r="J33" s="67"/>
    </row>
    <row r="34" spans="1:10" ht="39">
      <c r="A34" s="30" t="s">
        <v>58</v>
      </c>
      <c r="B34" s="71" t="s">
        <v>106</v>
      </c>
      <c r="C34" s="72" t="s">
        <v>107</v>
      </c>
      <c r="D34" s="73" t="s">
        <v>77</v>
      </c>
      <c r="E34" s="74">
        <v>0.10065</v>
      </c>
      <c r="F34" s="75">
        <v>166.60</v>
      </c>
      <c r="G34" s="75">
        <f t="shared" si="0"/>
        <v>16.77</v>
      </c>
      <c r="I34" s="67"/>
      <c r="J34" s="67"/>
    </row>
    <row r="35" spans="1:10" ht="26">
      <c r="A35" s="30" t="s">
        <v>58</v>
      </c>
      <c r="B35" s="71" t="s">
        <v>108</v>
      </c>
      <c r="C35" s="72" t="s">
        <v>109</v>
      </c>
      <c r="D35" s="73" t="s">
        <v>77</v>
      </c>
      <c r="E35" s="74">
        <v>0.0252</v>
      </c>
      <c r="F35" s="75">
        <v>152.12</v>
      </c>
      <c r="G35" s="75">
        <f t="shared" si="0"/>
        <v>3.83</v>
      </c>
      <c r="I35" s="67"/>
      <c r="J35" s="67"/>
    </row>
    <row r="36" spans="1:10" ht="26">
      <c r="A36" s="30" t="s">
        <v>58</v>
      </c>
      <c r="B36" s="71" t="s">
        <v>110</v>
      </c>
      <c r="C36" s="72" t="s">
        <v>111</v>
      </c>
      <c r="D36" s="73" t="s">
        <v>77</v>
      </c>
      <c r="E36" s="74">
        <v>0.025000000000000001</v>
      </c>
      <c r="F36" s="75">
        <v>24.94</v>
      </c>
      <c r="G36" s="75">
        <f t="shared" si="0"/>
        <v>0.62</v>
      </c>
      <c r="I36" s="67"/>
      <c r="J36" s="67"/>
    </row>
    <row r="37" spans="1:10" ht="39">
      <c r="A37" s="30" t="s">
        <v>58</v>
      </c>
      <c r="B37" s="71" t="s">
        <v>112</v>
      </c>
      <c r="C37" s="72" t="s">
        <v>113</v>
      </c>
      <c r="D37" s="73" t="s">
        <v>24</v>
      </c>
      <c r="E37" s="74">
        <v>0.35165000000000002</v>
      </c>
      <c r="F37" s="75">
        <v>125.41</v>
      </c>
      <c r="G37" s="75">
        <f t="shared" si="0"/>
        <v>44.10</v>
      </c>
      <c r="I37" s="67"/>
      <c r="J37" s="67"/>
    </row>
    <row r="38" spans="1:10" ht="26">
      <c r="A38" s="30" t="s">
        <v>58</v>
      </c>
      <c r="B38" s="71" t="s">
        <v>114</v>
      </c>
      <c r="C38" s="72" t="s">
        <v>115</v>
      </c>
      <c r="D38" s="73" t="s">
        <v>24</v>
      </c>
      <c r="E38" s="74">
        <v>0.40475</v>
      </c>
      <c r="F38" s="75">
        <v>128.63</v>
      </c>
      <c r="G38" s="75">
        <f t="shared" si="0"/>
        <v>52.06</v>
      </c>
      <c r="I38" s="67"/>
      <c r="J38" s="67"/>
    </row>
    <row r="39" spans="1:10" ht="39">
      <c r="A39" s="30" t="s">
        <v>58</v>
      </c>
      <c r="B39" s="71" t="s">
        <v>116</v>
      </c>
      <c r="C39" s="72" t="s">
        <v>117</v>
      </c>
      <c r="D39" s="73" t="s">
        <v>24</v>
      </c>
      <c r="E39" s="74">
        <v>0.028000000000000001</v>
      </c>
      <c r="F39" s="75">
        <v>108.47</v>
      </c>
      <c r="G39" s="75">
        <f t="shared" si="0"/>
        <v>3.04</v>
      </c>
      <c r="I39" s="67"/>
      <c r="J39" s="67"/>
    </row>
    <row r="40" spans="1:10" ht="26">
      <c r="A40" s="30" t="s">
        <v>58</v>
      </c>
      <c r="B40" s="71" t="s">
        <v>118</v>
      </c>
      <c r="C40" s="72" t="s">
        <v>119</v>
      </c>
      <c r="D40" s="73" t="s">
        <v>24</v>
      </c>
      <c r="E40" s="74">
        <v>0.032250000000000001</v>
      </c>
      <c r="F40" s="75">
        <v>110.76</v>
      </c>
      <c r="G40" s="75">
        <f t="shared" si="0"/>
        <v>3.57</v>
      </c>
      <c r="I40" s="67"/>
      <c r="J40" s="67"/>
    </row>
    <row r="41" spans="1:10" ht="39">
      <c r="A41" s="30" t="s">
        <v>58</v>
      </c>
      <c r="B41" s="71" t="s">
        <v>120</v>
      </c>
      <c r="C41" s="72" t="s">
        <v>121</v>
      </c>
      <c r="D41" s="73" t="s">
        <v>24</v>
      </c>
      <c r="E41" s="74">
        <v>0.54944999999999999</v>
      </c>
      <c r="F41" s="75">
        <v>150.47999999999999</v>
      </c>
      <c r="G41" s="75">
        <f t="shared" si="0"/>
        <v>82.68</v>
      </c>
      <c r="I41" s="67"/>
      <c r="J41" s="67"/>
    </row>
    <row r="42" spans="1:10" ht="26">
      <c r="A42" s="30" t="s">
        <v>58</v>
      </c>
      <c r="B42" s="71" t="s">
        <v>122</v>
      </c>
      <c r="C42" s="72" t="s">
        <v>123</v>
      </c>
      <c r="D42" s="73" t="s">
        <v>24</v>
      </c>
      <c r="E42" s="74">
        <v>0.4284</v>
      </c>
      <c r="F42" s="75">
        <v>193.63</v>
      </c>
      <c r="G42" s="75">
        <f t="shared" si="0"/>
        <v>82.95</v>
      </c>
      <c r="I42" s="67"/>
      <c r="J42" s="67"/>
    </row>
    <row r="43" spans="1:10" ht="39">
      <c r="A43" s="30" t="s">
        <v>58</v>
      </c>
      <c r="B43" s="71" t="s">
        <v>124</v>
      </c>
      <c r="C43" s="72" t="s">
        <v>125</v>
      </c>
      <c r="D43" s="73" t="s">
        <v>24</v>
      </c>
      <c r="E43" s="74">
        <v>0.043900000000000002</v>
      </c>
      <c r="F43" s="75">
        <v>126.99</v>
      </c>
      <c r="G43" s="75">
        <f t="shared" si="0"/>
        <v>5.57</v>
      </c>
      <c r="I43" s="67"/>
      <c r="J43" s="67"/>
    </row>
    <row r="44" spans="1:10" ht="26">
      <c r="A44" s="30" t="s">
        <v>58</v>
      </c>
      <c r="B44" s="71" t="s">
        <v>126</v>
      </c>
      <c r="C44" s="72" t="s">
        <v>127</v>
      </c>
      <c r="D44" s="73" t="s">
        <v>24</v>
      </c>
      <c r="E44" s="74">
        <v>0.03415</v>
      </c>
      <c r="F44" s="75">
        <v>159.88</v>
      </c>
      <c r="G44" s="75">
        <f t="shared" si="0"/>
        <v>5.46</v>
      </c>
      <c r="I44" s="67"/>
      <c r="J44" s="67"/>
    </row>
    <row r="45" spans="1:10" ht="39">
      <c r="A45" s="30" t="s">
        <v>58</v>
      </c>
      <c r="B45" s="71" t="s">
        <v>128</v>
      </c>
      <c r="C45" s="72" t="s">
        <v>129</v>
      </c>
      <c r="D45" s="73" t="s">
        <v>45</v>
      </c>
      <c r="E45" s="74">
        <v>0.0269</v>
      </c>
      <c r="F45" s="75">
        <v>971.52</v>
      </c>
      <c r="G45" s="75">
        <f t="shared" si="0"/>
        <v>26.13</v>
      </c>
      <c r="I45" s="67"/>
      <c r="J45" s="67"/>
    </row>
    <row r="46" spans="1:10" ht="26">
      <c r="A46" s="30" t="s">
        <v>58</v>
      </c>
      <c r="B46" s="71" t="s">
        <v>130</v>
      </c>
      <c r="C46" s="72" t="s">
        <v>131</v>
      </c>
      <c r="D46" s="73" t="s">
        <v>77</v>
      </c>
      <c r="E46" s="74">
        <v>0.0252</v>
      </c>
      <c r="F46" s="75">
        <v>75.52</v>
      </c>
      <c r="G46" s="75">
        <f t="shared" si="0"/>
        <v>1.90</v>
      </c>
      <c r="I46" s="67"/>
      <c r="J46" s="67"/>
    </row>
    <row r="47" spans="1:10" ht="26">
      <c r="A47" s="30" t="s">
        <v>58</v>
      </c>
      <c r="B47" s="71" t="s">
        <v>132</v>
      </c>
      <c r="C47" s="72" t="s">
        <v>133</v>
      </c>
      <c r="D47" s="73" t="s">
        <v>77</v>
      </c>
      <c r="E47" s="74">
        <v>0.0504</v>
      </c>
      <c r="F47" s="75">
        <v>26.83</v>
      </c>
      <c r="G47" s="75">
        <f t="shared" si="0"/>
        <v>1.35</v>
      </c>
      <c r="I47" s="67"/>
      <c r="J47" s="67"/>
    </row>
    <row r="48" spans="1:10" ht="13">
      <c r="A48" s="30" t="s">
        <v>58</v>
      </c>
      <c r="B48" s="71" t="s">
        <v>134</v>
      </c>
      <c r="C48" s="72" t="s">
        <v>135</v>
      </c>
      <c r="D48" s="73" t="s">
        <v>66</v>
      </c>
      <c r="E48" s="74">
        <v>3.4843999999999999</v>
      </c>
      <c r="F48" s="75">
        <v>7.48</v>
      </c>
      <c r="G48" s="75">
        <f t="shared" si="0"/>
        <v>26.06</v>
      </c>
      <c r="I48" s="67"/>
      <c r="J48" s="67"/>
    </row>
    <row r="49" spans="1:10" ht="26">
      <c r="A49" s="30" t="s">
        <v>58</v>
      </c>
      <c r="B49" s="71" t="s">
        <v>136</v>
      </c>
      <c r="C49" s="72" t="s">
        <v>137</v>
      </c>
      <c r="D49" s="73" t="s">
        <v>66</v>
      </c>
      <c r="E49" s="74">
        <v>3.9173</v>
      </c>
      <c r="F49" s="75">
        <v>13</v>
      </c>
      <c r="G49" s="75">
        <f t="shared" si="0"/>
        <v>50.92</v>
      </c>
      <c r="I49" s="67"/>
      <c r="J49" s="67"/>
    </row>
    <row r="50" spans="1:10" ht="26">
      <c r="A50" s="30" t="s">
        <v>58</v>
      </c>
      <c r="B50" s="71" t="s">
        <v>138</v>
      </c>
      <c r="C50" s="72" t="s">
        <v>139</v>
      </c>
      <c r="D50" s="73" t="s">
        <v>77</v>
      </c>
      <c r="E50" s="74">
        <v>0.025149999999999999</v>
      </c>
      <c r="F50" s="75">
        <v>194.68</v>
      </c>
      <c r="G50" s="75">
        <f t="shared" si="0"/>
        <v>4.9000000000000004</v>
      </c>
      <c r="I50" s="67"/>
      <c r="J50" s="67"/>
    </row>
    <row r="51" spans="1:10" ht="26">
      <c r="A51" s="30" t="s">
        <v>58</v>
      </c>
      <c r="B51" s="71" t="s">
        <v>140</v>
      </c>
      <c r="C51" s="72" t="s">
        <v>141</v>
      </c>
      <c r="D51" s="73" t="s">
        <v>77</v>
      </c>
      <c r="E51" s="74">
        <v>0.0252</v>
      </c>
      <c r="F51" s="75">
        <v>188.26</v>
      </c>
      <c r="G51" s="75">
        <f t="shared" si="0"/>
        <v>4.74</v>
      </c>
      <c r="I51" s="67"/>
      <c r="J51" s="67"/>
    </row>
    <row r="52" spans="1:10" ht="39">
      <c r="A52" s="30" t="s">
        <v>58</v>
      </c>
      <c r="B52" s="71" t="s">
        <v>142</v>
      </c>
      <c r="C52" s="72" t="s">
        <v>143</v>
      </c>
      <c r="D52" s="73" t="s">
        <v>77</v>
      </c>
      <c r="E52" s="74">
        <v>0.0252</v>
      </c>
      <c r="F52" s="75">
        <v>18.010000000000002</v>
      </c>
      <c r="G52" s="75">
        <f t="shared" si="0"/>
        <v>0.45</v>
      </c>
      <c r="I52" s="67"/>
      <c r="J52" s="67"/>
    </row>
    <row r="53" spans="1:10" ht="26">
      <c r="A53" s="30" t="s">
        <v>58</v>
      </c>
      <c r="B53" s="71" t="s">
        <v>144</v>
      </c>
      <c r="C53" s="72" t="s">
        <v>145</v>
      </c>
      <c r="D53" s="73" t="s">
        <v>24</v>
      </c>
      <c r="E53" s="74">
        <v>1</v>
      </c>
      <c r="F53" s="75">
        <v>100.18</v>
      </c>
      <c r="G53" s="75">
        <f t="shared" si="0"/>
        <v>100.18</v>
      </c>
      <c r="I53" s="67"/>
      <c r="J53" s="67"/>
    </row>
    <row r="54" spans="1:10" ht="13">
      <c r="A54" s="30"/>
      <c r="B54" s="30"/>
      <c r="C54" s="76"/>
      <c r="D54" s="28"/>
      <c r="E54" s="77"/>
      <c r="F54" s="53" t="s">
        <v>48</v>
      </c>
      <c r="G54" s="78">
        <f>SUM(G12:G53)</f>
        <v>905.65</v>
      </c>
      <c r="I54" s="67"/>
      <c r="J54" s="67"/>
    </row>
    <row r="55" spans="1:10" ht="13">
      <c r="A55" s="66"/>
      <c r="B55" s="66"/>
      <c r="C55" s="66"/>
      <c r="D55" s="66"/>
      <c r="E55" s="66"/>
      <c r="F55" s="66"/>
      <c r="G55" s="66"/>
      <c r="I55" s="67"/>
      <c r="J55" s="67"/>
    </row>
    <row r="56" spans="1:10" ht="13">
      <c r="A56" s="28" t="e">
        <f>#REF!</f>
        <v>#REF!</v>
      </c>
      <c r="B56" s="28" t="str">
        <f>BM!A15</f>
        <v>1.2</v>
      </c>
      <c r="C56" s="39" t="str">
        <f>BM!B15</f>
        <v>PLACA DE OBRA EM LONA COM PLOTAGEM DE GRÁFICA</v>
      </c>
      <c r="D56" s="28" t="str">
        <f>BM!C15</f>
        <v>m²</v>
      </c>
      <c r="E56" s="28"/>
      <c r="F56" s="28"/>
      <c r="G56" s="28"/>
      <c r="I56" s="67"/>
      <c r="J56" s="67"/>
    </row>
    <row r="57" spans="1:10" ht="13">
      <c r="A57" s="28" t="s">
        <v>54</v>
      </c>
      <c r="B57" s="28" t="s">
        <v>55</v>
      </c>
      <c r="C57" s="28" t="s">
        <v>10</v>
      </c>
      <c r="D57" s="28" t="s">
        <v>11</v>
      </c>
      <c r="E57" s="28" t="s">
        <v>56</v>
      </c>
      <c r="F57" s="69" t="s">
        <v>57</v>
      </c>
      <c r="G57" s="70" t="s">
        <v>14</v>
      </c>
      <c r="I57" s="67"/>
      <c r="J57" s="67"/>
    </row>
    <row r="58" spans="1:10" ht="13">
      <c r="A58" s="30" t="s">
        <v>146</v>
      </c>
      <c r="B58" s="71">
        <v>280013</v>
      </c>
      <c r="C58" s="72" t="s">
        <v>147</v>
      </c>
      <c r="D58" s="73" t="s">
        <v>61</v>
      </c>
      <c r="E58" s="74">
        <v>0.40</v>
      </c>
      <c r="F58" s="75">
        <v>22.61</v>
      </c>
      <c r="G58" s="75">
        <f>F58*E58</f>
        <v>9.0399999999999991</v>
      </c>
      <c r="I58" s="67"/>
      <c r="J58" s="67"/>
    </row>
    <row r="59" spans="1:10" ht="13">
      <c r="A59" s="30" t="s">
        <v>146</v>
      </c>
      <c r="B59" s="71">
        <v>280026</v>
      </c>
      <c r="C59" s="72" t="s">
        <v>148</v>
      </c>
      <c r="D59" s="73" t="s">
        <v>61</v>
      </c>
      <c r="E59" s="74">
        <v>0.40</v>
      </c>
      <c r="F59" s="75">
        <v>18.16</v>
      </c>
      <c r="G59" s="75">
        <f t="shared" si="1" ref="G59:G62">F59*E59</f>
        <v>7.26</v>
      </c>
      <c r="I59" s="67"/>
      <c r="J59" s="67"/>
    </row>
    <row r="60" spans="1:10" ht="13">
      <c r="A60" s="30" t="s">
        <v>146</v>
      </c>
      <c r="B60" s="71" t="s">
        <v>149</v>
      </c>
      <c r="C60" s="72" t="s">
        <v>150</v>
      </c>
      <c r="D60" s="73" t="s">
        <v>151</v>
      </c>
      <c r="E60" s="74">
        <v>0.41</v>
      </c>
      <c r="F60" s="75">
        <v>150</v>
      </c>
      <c r="G60" s="75">
        <f t="shared" si="1"/>
        <v>61.50</v>
      </c>
      <c r="I60" s="67"/>
      <c r="J60" s="67"/>
    </row>
    <row r="61" spans="1:10" ht="13">
      <c r="A61" s="30" t="s">
        <v>146</v>
      </c>
      <c r="B61" s="71" t="s">
        <v>152</v>
      </c>
      <c r="C61" s="72" t="s">
        <v>153</v>
      </c>
      <c r="D61" s="73" t="s">
        <v>24</v>
      </c>
      <c r="E61" s="74">
        <v>1</v>
      </c>
      <c r="F61" s="75">
        <v>80</v>
      </c>
      <c r="G61" s="75">
        <f t="shared" si="1"/>
        <v>80</v>
      </c>
      <c r="I61" s="67"/>
      <c r="J61" s="67"/>
    </row>
    <row r="62" spans="1:10" ht="13">
      <c r="A62" s="30" t="s">
        <v>146</v>
      </c>
      <c r="B62" s="71" t="s">
        <v>154</v>
      </c>
      <c r="C62" s="72" t="s">
        <v>155</v>
      </c>
      <c r="D62" s="73" t="s">
        <v>156</v>
      </c>
      <c r="E62" s="74">
        <v>0.10</v>
      </c>
      <c r="F62" s="75">
        <v>18.739999999999998</v>
      </c>
      <c r="G62" s="75">
        <f t="shared" si="1"/>
        <v>1.87</v>
      </c>
      <c r="I62" s="67"/>
      <c r="J62" s="67"/>
    </row>
    <row r="63" spans="1:10" ht="13">
      <c r="A63" s="30"/>
      <c r="B63" s="30"/>
      <c r="C63" s="76"/>
      <c r="D63" s="28"/>
      <c r="E63" s="77"/>
      <c r="F63" s="53" t="s">
        <v>48</v>
      </c>
      <c r="G63" s="78">
        <f>SUM(G58:G62)</f>
        <v>159.66999999999999</v>
      </c>
      <c r="I63" s="67"/>
      <c r="J63" s="67"/>
    </row>
    <row r="64" spans="1:10" ht="13">
      <c r="A64" s="66"/>
      <c r="B64" s="66"/>
      <c r="C64" s="66"/>
      <c r="D64" s="66"/>
      <c r="E64" s="66"/>
      <c r="F64" s="66"/>
      <c r="G64" s="66"/>
      <c r="I64" s="67"/>
      <c r="J64" s="67"/>
    </row>
    <row r="65" spans="1:10" ht="13">
      <c r="A65" s="28" t="e">
        <f>#REF!</f>
        <v>#REF!</v>
      </c>
      <c r="B65" s="28" t="str">
        <f>BM!A16</f>
        <v>1.3</v>
      </c>
      <c r="C65" s="39" t="str">
        <f>BM!B16</f>
        <v>LOCAÇÃO DE PAVIMENTAÇÃO</v>
      </c>
      <c r="D65" s="28" t="str">
        <f>BM!C16</f>
        <v>m</v>
      </c>
      <c r="E65" s="28"/>
      <c r="F65" s="28"/>
      <c r="G65" s="28"/>
      <c r="I65" s="67"/>
      <c r="J65" s="67"/>
    </row>
    <row r="66" spans="1:10" ht="13">
      <c r="A66" s="28" t="s">
        <v>54</v>
      </c>
      <c r="B66" s="28" t="s">
        <v>55</v>
      </c>
      <c r="C66" s="28" t="s">
        <v>10</v>
      </c>
      <c r="D66" s="28" t="s">
        <v>11</v>
      </c>
      <c r="E66" s="28" t="s">
        <v>56</v>
      </c>
      <c r="F66" s="69" t="s">
        <v>57</v>
      </c>
      <c r="G66" s="70" t="s">
        <v>14</v>
      </c>
      <c r="I66" s="67"/>
      <c r="J66" s="67"/>
    </row>
    <row r="67" spans="1:10" ht="13">
      <c r="A67" s="30" t="s">
        <v>58</v>
      </c>
      <c r="B67" s="71">
        <v>99058</v>
      </c>
      <c r="C67" s="72" t="str">
        <f>C65</f>
        <v>LOCAÇÃO DE PAVIMENTAÇÃO</v>
      </c>
      <c r="D67" s="30" t="s">
        <v>77</v>
      </c>
      <c r="E67" s="74">
        <v>0.05</v>
      </c>
      <c r="F67" s="75">
        <v>8.60</v>
      </c>
      <c r="G67" s="75">
        <f>F67*E67</f>
        <v>0.43</v>
      </c>
      <c r="I67" s="67"/>
      <c r="J67" s="67"/>
    </row>
    <row r="68" spans="1:10" ht="13">
      <c r="A68" s="30"/>
      <c r="B68" s="30"/>
      <c r="C68" s="76"/>
      <c r="D68" s="28"/>
      <c r="E68" s="77"/>
      <c r="F68" s="53" t="s">
        <v>48</v>
      </c>
      <c r="G68" s="78">
        <f>SUM(G67:G67)</f>
        <v>0.43</v>
      </c>
      <c r="I68" s="67"/>
      <c r="J68" s="67"/>
    </row>
    <row r="69" spans="1:10" ht="13">
      <c r="A69" s="3"/>
      <c r="B69" s="3"/>
      <c r="C69" s="79"/>
      <c r="D69" s="6"/>
      <c r="E69" s="80"/>
      <c r="F69" s="81"/>
      <c r="G69" s="82"/>
      <c r="I69" s="67"/>
      <c r="J69" s="67"/>
    </row>
    <row r="70" spans="1:10" ht="13">
      <c r="A70" s="28" t="str">
        <f>BM!A18</f>
        <v>2.0</v>
      </c>
      <c r="B70" s="29" t="str">
        <f>BM!B18</f>
        <v>MOBILIZAÇÃO E DESMOBILIZAÇÃO</v>
      </c>
      <c r="C70" s="29"/>
      <c r="D70" s="29"/>
      <c r="E70" s="29"/>
      <c r="F70" s="29"/>
      <c r="G70" s="29"/>
      <c r="I70" s="67"/>
      <c r="J70" s="67"/>
    </row>
    <row r="71" spans="1:10" ht="13">
      <c r="A71" s="66"/>
      <c r="B71" s="66"/>
      <c r="C71" s="66"/>
      <c r="D71" s="66"/>
      <c r="E71" s="66"/>
      <c r="F71" s="66"/>
      <c r="G71" s="66"/>
      <c r="I71" s="67"/>
      <c r="J71" s="67"/>
    </row>
    <row r="72" spans="1:10" ht="13">
      <c r="A72" s="28" t="e">
        <f>#REF!</f>
        <v>#REF!</v>
      </c>
      <c r="B72" s="28" t="str">
        <f>BM!A19</f>
        <v>2.1</v>
      </c>
      <c r="C72" s="29" t="str">
        <f>BM!B19</f>
        <v>MOBILIZAÇÃO</v>
      </c>
      <c r="D72" s="28" t="str">
        <f>BM!C19</f>
        <v>uni</v>
      </c>
      <c r="E72" s="28"/>
      <c r="F72" s="28"/>
      <c r="G72" s="28"/>
      <c r="I72" s="67"/>
      <c r="J72" s="67"/>
    </row>
    <row r="73" spans="1:10" ht="13">
      <c r="A73" s="28" t="s">
        <v>54</v>
      </c>
      <c r="B73" s="28" t="s">
        <v>55</v>
      </c>
      <c r="C73" s="28" t="s">
        <v>10</v>
      </c>
      <c r="D73" s="28" t="s">
        <v>11</v>
      </c>
      <c r="E73" s="28" t="s">
        <v>56</v>
      </c>
      <c r="F73" s="69" t="s">
        <v>57</v>
      </c>
      <c r="G73" s="70" t="s">
        <v>14</v>
      </c>
      <c r="I73" s="67"/>
      <c r="J73" s="67"/>
    </row>
    <row r="74" spans="1:10" ht="52">
      <c r="A74" s="30" t="s">
        <v>58</v>
      </c>
      <c r="B74" s="83">
        <v>5826</v>
      </c>
      <c r="C74" s="84" t="s">
        <v>157</v>
      </c>
      <c r="D74" s="85" t="s">
        <v>158</v>
      </c>
      <c r="E74" s="74">
        <v>4</v>
      </c>
      <c r="F74" s="86">
        <v>47.97</v>
      </c>
      <c r="G74" s="75">
        <f>F74*E74</f>
        <v>191.88</v>
      </c>
      <c r="H74" s="87"/>
      <c r="I74" s="67"/>
      <c r="J74" s="67"/>
    </row>
    <row r="75" spans="1:10" ht="52">
      <c r="A75" s="30" t="s">
        <v>58</v>
      </c>
      <c r="B75" s="83">
        <v>5824</v>
      </c>
      <c r="C75" s="84" t="s">
        <v>159</v>
      </c>
      <c r="D75" s="85" t="s">
        <v>160</v>
      </c>
      <c r="E75" s="74">
        <v>4</v>
      </c>
      <c r="F75" s="86">
        <v>212.19</v>
      </c>
      <c r="G75" s="75">
        <f t="shared" si="2" ref="G75:G78">F75*E75</f>
        <v>848.76</v>
      </c>
      <c r="I75" s="67"/>
      <c r="J75" s="67"/>
    </row>
    <row r="76" spans="1:10" ht="13">
      <c r="A76" s="30" t="s">
        <v>58</v>
      </c>
      <c r="B76" s="83">
        <v>88316</v>
      </c>
      <c r="C76" s="88" t="s">
        <v>161</v>
      </c>
      <c r="D76" s="85" t="s">
        <v>61</v>
      </c>
      <c r="E76" s="74">
        <f>8*4</f>
        <v>32</v>
      </c>
      <c r="F76" s="86">
        <v>19.06</v>
      </c>
      <c r="G76" s="75">
        <f t="shared" si="2"/>
        <v>609.91999999999996</v>
      </c>
      <c r="I76" s="67"/>
      <c r="J76" s="67"/>
    </row>
    <row r="77" spans="1:10" ht="26">
      <c r="A77" s="85" t="s">
        <v>162</v>
      </c>
      <c r="B77" s="83">
        <v>5919716</v>
      </c>
      <c r="C77" s="84" t="s">
        <v>163</v>
      </c>
      <c r="D77" s="85" t="s">
        <v>164</v>
      </c>
      <c r="E77" s="74">
        <v>201</v>
      </c>
      <c r="F77" s="86">
        <v>230.88</v>
      </c>
      <c r="G77" s="75">
        <f t="shared" si="2"/>
        <v>46406.88</v>
      </c>
      <c r="I77" s="67"/>
      <c r="J77" s="67"/>
    </row>
    <row r="78" spans="1:10" ht="13">
      <c r="A78" s="85" t="s">
        <v>58</v>
      </c>
      <c r="B78" s="83">
        <v>88316</v>
      </c>
      <c r="C78" s="88" t="s">
        <v>165</v>
      </c>
      <c r="D78" s="85" t="s">
        <v>61</v>
      </c>
      <c r="E78" s="74">
        <f>15*4</f>
        <v>60</v>
      </c>
      <c r="F78" s="86">
        <v>19.06</v>
      </c>
      <c r="G78" s="75">
        <f t="shared" si="2"/>
        <v>1143.5999999999999</v>
      </c>
      <c r="I78" s="67"/>
      <c r="J78" s="67"/>
    </row>
    <row r="79" spans="1:10" ht="13">
      <c r="A79" s="30"/>
      <c r="B79" s="30"/>
      <c r="C79" s="76"/>
      <c r="D79" s="28"/>
      <c r="E79" s="77"/>
      <c r="F79" s="53" t="s">
        <v>48</v>
      </c>
      <c r="G79" s="78">
        <f>SUM(G74:G78)</f>
        <v>49201.04</v>
      </c>
      <c r="I79" s="67"/>
      <c r="J79" s="67"/>
    </row>
    <row r="80" spans="1:10" ht="13">
      <c r="A80" s="3"/>
      <c r="B80" s="3"/>
      <c r="C80" s="79"/>
      <c r="D80" s="6"/>
      <c r="E80" s="80"/>
      <c r="F80" s="81"/>
      <c r="G80" s="82"/>
      <c r="I80" s="67"/>
      <c r="J80" s="67"/>
    </row>
    <row r="81" spans="1:10" ht="13">
      <c r="A81" s="28" t="e">
        <f>#REF!</f>
        <v>#REF!</v>
      </c>
      <c r="B81" s="28" t="str">
        <f>BM!A20</f>
        <v>2.2</v>
      </c>
      <c r="C81" s="29" t="str">
        <f>BM!B20</f>
        <v>DESMOBILIZAÇÃO</v>
      </c>
      <c r="D81" s="28" t="str">
        <f>BM!C20</f>
        <v>uni</v>
      </c>
      <c r="E81" s="28"/>
      <c r="F81" s="28"/>
      <c r="G81" s="28"/>
      <c r="I81" s="67"/>
      <c r="J81" s="67"/>
    </row>
    <row r="82" spans="1:10" ht="13">
      <c r="A82" s="28" t="s">
        <v>54</v>
      </c>
      <c r="B82" s="28" t="s">
        <v>55</v>
      </c>
      <c r="C82" s="28" t="s">
        <v>10</v>
      </c>
      <c r="D82" s="28" t="s">
        <v>11</v>
      </c>
      <c r="E82" s="28" t="s">
        <v>56</v>
      </c>
      <c r="F82" s="69" t="s">
        <v>57</v>
      </c>
      <c r="G82" s="70" t="s">
        <v>14</v>
      </c>
      <c r="I82" s="67"/>
      <c r="J82" s="67"/>
    </row>
    <row r="83" spans="1:10" ht="52">
      <c r="A83" s="30" t="s">
        <v>58</v>
      </c>
      <c r="B83" s="83">
        <v>5826</v>
      </c>
      <c r="C83" s="84" t="s">
        <v>166</v>
      </c>
      <c r="D83" s="85" t="s">
        <v>158</v>
      </c>
      <c r="E83" s="74">
        <f>E74</f>
        <v>4</v>
      </c>
      <c r="F83" s="86">
        <v>47.97</v>
      </c>
      <c r="G83" s="75">
        <f>F83*E83</f>
        <v>191.88</v>
      </c>
      <c r="I83" s="67"/>
      <c r="J83" s="67"/>
    </row>
    <row r="84" spans="1:10" ht="52">
      <c r="A84" s="30" t="s">
        <v>58</v>
      </c>
      <c r="B84" s="83">
        <v>5824</v>
      </c>
      <c r="C84" s="84" t="s">
        <v>167</v>
      </c>
      <c r="D84" s="85" t="s">
        <v>160</v>
      </c>
      <c r="E84" s="74">
        <f>E75</f>
        <v>4</v>
      </c>
      <c r="F84" s="86">
        <v>212.19</v>
      </c>
      <c r="G84" s="75">
        <f t="shared" si="3" ref="G84:G87">F84*E84</f>
        <v>848.76</v>
      </c>
      <c r="I84" s="67"/>
      <c r="J84" s="67"/>
    </row>
    <row r="85" spans="1:10" ht="13">
      <c r="A85" s="30" t="s">
        <v>58</v>
      </c>
      <c r="B85" s="83">
        <v>88316</v>
      </c>
      <c r="C85" s="88" t="s">
        <v>168</v>
      </c>
      <c r="D85" s="85" t="s">
        <v>61</v>
      </c>
      <c r="E85" s="74">
        <f>E76</f>
        <v>32</v>
      </c>
      <c r="F85" s="86">
        <v>19.06</v>
      </c>
      <c r="G85" s="75">
        <f t="shared" si="3"/>
        <v>609.91999999999996</v>
      </c>
      <c r="I85" s="67"/>
      <c r="J85" s="67"/>
    </row>
    <row r="86" spans="1:10" ht="26">
      <c r="A86" s="85" t="s">
        <v>162</v>
      </c>
      <c r="B86" s="83">
        <v>5919716</v>
      </c>
      <c r="C86" s="84" t="s">
        <v>163</v>
      </c>
      <c r="D86" s="85" t="s">
        <v>164</v>
      </c>
      <c r="E86" s="74">
        <v>201</v>
      </c>
      <c r="F86" s="86">
        <v>230.88</v>
      </c>
      <c r="G86" s="75">
        <f t="shared" si="3"/>
        <v>46406.88</v>
      </c>
      <c r="I86" s="67"/>
      <c r="J86" s="67"/>
    </row>
    <row r="87" spans="1:10" ht="13">
      <c r="A87" s="85" t="s">
        <v>58</v>
      </c>
      <c r="B87" s="83">
        <v>88316</v>
      </c>
      <c r="C87" s="88" t="s">
        <v>165</v>
      </c>
      <c r="D87" s="85" t="s">
        <v>61</v>
      </c>
      <c r="E87" s="74">
        <f>15*4</f>
        <v>60</v>
      </c>
      <c r="F87" s="86">
        <v>19.06</v>
      </c>
      <c r="G87" s="75">
        <f t="shared" si="3"/>
        <v>1143.5999999999999</v>
      </c>
      <c r="I87" s="67"/>
      <c r="J87" s="67"/>
    </row>
    <row r="88" spans="1:10" ht="13">
      <c r="A88" s="30"/>
      <c r="B88" s="30"/>
      <c r="C88" s="76"/>
      <c r="D88" s="28"/>
      <c r="E88" s="77"/>
      <c r="F88" s="53" t="s">
        <v>48</v>
      </c>
      <c r="G88" s="78">
        <f>SUM(G83:G87)</f>
        <v>49201.04</v>
      </c>
      <c r="I88" s="67"/>
      <c r="J88" s="67"/>
    </row>
    <row r="89" spans="1:10" ht="13">
      <c r="A89" s="66"/>
      <c r="B89" s="66"/>
      <c r="C89" s="66"/>
      <c r="D89" s="66"/>
      <c r="E89" s="66"/>
      <c r="F89" s="66"/>
      <c r="G89" s="66"/>
      <c r="I89" s="67"/>
      <c r="J89" s="67"/>
    </row>
    <row r="90" spans="1:10" ht="13">
      <c r="A90" s="28" t="str">
        <f>BM!A22</f>
        <v>3.0</v>
      </c>
      <c r="B90" s="29" t="str">
        <f>BM!B22</f>
        <v>ADMINISTRAÇÃO LOCAL</v>
      </c>
      <c r="C90" s="29"/>
      <c r="D90" s="29"/>
      <c r="E90" s="29"/>
      <c r="F90" s="29"/>
      <c r="G90" s="29"/>
      <c r="I90" s="67"/>
      <c r="J90" s="67"/>
    </row>
    <row r="91" spans="1:10" ht="13">
      <c r="A91" s="66"/>
      <c r="B91" s="66"/>
      <c r="C91" s="66"/>
      <c r="D91" s="66"/>
      <c r="E91" s="66"/>
      <c r="F91" s="66"/>
      <c r="G91" s="66"/>
      <c r="I91" s="67"/>
      <c r="J91" s="67"/>
    </row>
    <row r="92" spans="1:7" ht="13">
      <c r="A92" s="28" t="str">
        <f>BM!A23</f>
        <v>3.1</v>
      </c>
      <c r="B92" s="28" t="e">
        <f>#REF!</f>
        <v>#REF!</v>
      </c>
      <c r="C92" s="29" t="str">
        <f>BM!B23</f>
        <v>EQUIPE TÉCNICA</v>
      </c>
      <c r="D92" s="28"/>
      <c r="E92" s="28"/>
      <c r="F92" s="28"/>
      <c r="G92" s="28"/>
    </row>
    <row r="93" spans="1:7" ht="13">
      <c r="A93" s="28" t="s">
        <v>169</v>
      </c>
      <c r="B93" s="28" t="s">
        <v>9</v>
      </c>
      <c r="C93" s="28" t="s">
        <v>10</v>
      </c>
      <c r="D93" s="28" t="s">
        <v>11</v>
      </c>
      <c r="E93" s="28" t="s">
        <v>56</v>
      </c>
      <c r="F93" s="69" t="s">
        <v>57</v>
      </c>
      <c r="G93" s="70" t="s">
        <v>14</v>
      </c>
    </row>
    <row r="94" spans="1:7" ht="13">
      <c r="A94" s="30" t="s">
        <v>58</v>
      </c>
      <c r="B94" s="30">
        <v>90776</v>
      </c>
      <c r="C94" s="76" t="s">
        <v>170</v>
      </c>
      <c r="D94" s="30" t="s">
        <v>61</v>
      </c>
      <c r="E94" s="74">
        <f>8*22*18</f>
        <v>3168</v>
      </c>
      <c r="F94" s="89">
        <v>23.54</v>
      </c>
      <c r="G94" s="90">
        <f t="shared" si="4" ref="G94:G95">E94*F94</f>
        <v>74574.72</v>
      </c>
    </row>
    <row r="95" spans="1:7" ht="13">
      <c r="A95" s="30" t="s">
        <v>58</v>
      </c>
      <c r="B95" s="30">
        <v>88326</v>
      </c>
      <c r="C95" s="76" t="s">
        <v>171</v>
      </c>
      <c r="D95" s="30" t="s">
        <v>61</v>
      </c>
      <c r="E95" s="74">
        <f>8*22*18</f>
        <v>3168</v>
      </c>
      <c r="F95" s="90">
        <v>25.82</v>
      </c>
      <c r="G95" s="90">
        <f t="shared" si="4"/>
        <v>81797.759999999995</v>
      </c>
    </row>
    <row r="96" spans="1:11" ht="13">
      <c r="A96" s="30"/>
      <c r="B96" s="30"/>
      <c r="C96" s="76"/>
      <c r="D96" s="28"/>
      <c r="E96" s="77"/>
      <c r="F96" s="53" t="s">
        <v>48</v>
      </c>
      <c r="G96" s="91">
        <f>SUM(G94:G95)</f>
        <v>156372.48000000001</v>
      </c>
      <c r="I96" s="92">
        <f>127414*0.08</f>
        <v>10193.120000000001</v>
      </c>
      <c r="J96" s="92">
        <v>0.65517199999999998</v>
      </c>
      <c r="K96" s="92">
        <f>J96*I96</f>
        <v>6678.2468166400004</v>
      </c>
    </row>
    <row r="97" spans="1:7" ht="13">
      <c r="A97" s="3"/>
      <c r="B97" s="3"/>
      <c r="C97" s="79"/>
      <c r="D97" s="6"/>
      <c r="E97" s="80"/>
      <c r="F97" s="81"/>
      <c r="G97" s="7"/>
    </row>
    <row r="98" spans="1:7" ht="13">
      <c r="A98" s="28" t="str">
        <f>BM!A25</f>
        <v>4.0</v>
      </c>
      <c r="B98" s="29" t="str">
        <f>BM!B25</f>
        <v>PAVIMENTAÇÃO</v>
      </c>
      <c r="C98" s="29"/>
      <c r="D98" s="29"/>
      <c r="E98" s="29"/>
      <c r="F98" s="29"/>
      <c r="G98" s="29"/>
    </row>
    <row r="99" spans="1:15" ht="13">
      <c r="A99" s="3"/>
      <c r="B99" s="3"/>
      <c r="C99" s="79"/>
      <c r="D99" s="6"/>
      <c r="E99" s="80"/>
      <c r="F99" s="81"/>
      <c r="G99" s="7"/>
      <c r="M99" s="92" t="s">
        <v>172</v>
      </c>
      <c r="N99" s="92" t="s">
        <v>173</v>
      </c>
      <c r="O99" s="92" t="s">
        <v>56</v>
      </c>
    </row>
    <row r="100" spans="1:16" ht="25.5" customHeight="1">
      <c r="A100" s="28" t="e">
        <f>#REF!</f>
        <v>#REF!</v>
      </c>
      <c r="B100" s="28" t="e">
        <f>#REF!</f>
        <v>#REF!</v>
      </c>
      <c r="C100" s="39" t="str">
        <f>BM!B26</f>
        <v>PISO EM CONCRETO COM CONCRETO MOLDADO IN LOCO, FEITO EM OBRA, ACABAMENTO CONVENCIONAL, NÃO ARMADO</v>
      </c>
      <c r="D100" s="28" t="str">
        <f>BM!C26</f>
        <v>m³</v>
      </c>
      <c r="E100" s="28"/>
      <c r="F100" s="28"/>
      <c r="G100" s="28"/>
      <c r="I100" s="92">
        <v>225000</v>
      </c>
      <c r="J100" s="92">
        <v>1000</v>
      </c>
      <c r="M100" s="92">
        <v>1000</v>
      </c>
      <c r="N100" s="92">
        <v>680</v>
      </c>
      <c r="O100" s="93">
        <f>E110</f>
        <v>0.36</v>
      </c>
      <c r="P100" s="92">
        <f>O100*N100*M100</f>
        <v>244800</v>
      </c>
    </row>
    <row r="101" spans="1:7" ht="13">
      <c r="A101" s="28" t="s">
        <v>54</v>
      </c>
      <c r="B101" s="28" t="s">
        <v>55</v>
      </c>
      <c r="C101" s="28" t="s">
        <v>10</v>
      </c>
      <c r="D101" s="28" t="s">
        <v>11</v>
      </c>
      <c r="E101" s="28" t="s">
        <v>56</v>
      </c>
      <c r="F101" s="69" t="s">
        <v>57</v>
      </c>
      <c r="G101" s="70" t="s">
        <v>14</v>
      </c>
    </row>
    <row r="102" spans="1:15" ht="13">
      <c r="A102" s="30" t="s">
        <v>58</v>
      </c>
      <c r="B102" s="83">
        <v>88262</v>
      </c>
      <c r="C102" s="84" t="s">
        <v>174</v>
      </c>
      <c r="D102" s="85" t="s">
        <v>61</v>
      </c>
      <c r="E102" s="94">
        <v>1.6265000000000001</v>
      </c>
      <c r="F102" s="86">
        <v>26.05</v>
      </c>
      <c r="G102" s="75">
        <f>F102*E102</f>
        <v>42.37</v>
      </c>
      <c r="J102" s="95"/>
      <c r="O102" s="92">
        <f>680*45</f>
        <v>30600</v>
      </c>
    </row>
    <row r="103" spans="1:7" ht="13">
      <c r="A103" s="30" t="s">
        <v>58</v>
      </c>
      <c r="B103" s="83">
        <v>88309</v>
      </c>
      <c r="C103" s="84" t="s">
        <v>175</v>
      </c>
      <c r="D103" s="85" t="s">
        <v>61</v>
      </c>
      <c r="E103" s="94">
        <v>1.4145000000000001</v>
      </c>
      <c r="F103" s="86">
        <v>26.41</v>
      </c>
      <c r="G103" s="75">
        <f t="shared" si="5" ref="G103:G114">F103*E103</f>
        <v>37.36</v>
      </c>
    </row>
    <row r="104" spans="1:15" ht="13">
      <c r="A104" s="30" t="s">
        <v>58</v>
      </c>
      <c r="B104" s="83">
        <v>88316</v>
      </c>
      <c r="C104" s="88" t="s">
        <v>176</v>
      </c>
      <c r="D104" s="85" t="s">
        <v>61</v>
      </c>
      <c r="E104" s="94">
        <v>10</v>
      </c>
      <c r="F104" s="86">
        <v>20.97</v>
      </c>
      <c r="G104" s="75">
        <f t="shared" si="5"/>
        <v>209.70</v>
      </c>
      <c r="O104" s="92">
        <f>125000/45</f>
        <v>2777.7777777777801</v>
      </c>
    </row>
    <row r="105" spans="1:13" ht="26">
      <c r="A105" s="30" t="s">
        <v>58</v>
      </c>
      <c r="B105" s="83">
        <v>88830</v>
      </c>
      <c r="C105" s="88" t="s">
        <v>177</v>
      </c>
      <c r="D105" s="85" t="s">
        <v>160</v>
      </c>
      <c r="E105" s="74">
        <v>0.82589999999999997</v>
      </c>
      <c r="F105" s="86">
        <v>2.14</v>
      </c>
      <c r="G105" s="75">
        <f t="shared" si="5"/>
        <v>1.77</v>
      </c>
      <c r="J105" s="96"/>
      <c r="L105" s="92" t="s">
        <v>178</v>
      </c>
      <c r="M105" s="92" t="s">
        <v>179</v>
      </c>
    </row>
    <row r="106" spans="1:14" ht="26">
      <c r="A106" s="30" t="s">
        <v>58</v>
      </c>
      <c r="B106" s="83">
        <v>88831</v>
      </c>
      <c r="C106" s="88" t="s">
        <v>177</v>
      </c>
      <c r="D106" s="85" t="s">
        <v>158</v>
      </c>
      <c r="E106" s="74">
        <v>0.77869999999999995</v>
      </c>
      <c r="F106" s="86">
        <v>0.42</v>
      </c>
      <c r="G106" s="75">
        <f t="shared" si="5"/>
        <v>0.33</v>
      </c>
      <c r="J106" s="96"/>
      <c r="L106" s="92">
        <v>950</v>
      </c>
      <c r="M106" s="92">
        <v>1450</v>
      </c>
      <c r="N106" s="92">
        <f>L106/M106</f>
        <v>0.65517241379310298</v>
      </c>
    </row>
    <row r="107" spans="1:7" ht="13">
      <c r="A107" s="30" t="s">
        <v>58</v>
      </c>
      <c r="B107" s="83">
        <v>370</v>
      </c>
      <c r="C107" s="88" t="s">
        <v>180</v>
      </c>
      <c r="D107" s="85" t="s">
        <v>181</v>
      </c>
      <c r="E107" s="74">
        <v>0.75580000000000003</v>
      </c>
      <c r="F107" s="86">
        <v>85</v>
      </c>
      <c r="G107" s="75">
        <f t="shared" si="5"/>
        <v>64.239999999999995</v>
      </c>
    </row>
    <row r="108" spans="1:7" ht="13">
      <c r="A108" s="30" t="s">
        <v>58</v>
      </c>
      <c r="B108" s="83" t="s">
        <v>182</v>
      </c>
      <c r="C108" s="88" t="s">
        <v>183</v>
      </c>
      <c r="D108" s="85" t="s">
        <v>156</v>
      </c>
      <c r="E108" s="74">
        <v>350</v>
      </c>
      <c r="F108" s="86">
        <f>COTAÇÕES!F11</f>
        <v>1.40</v>
      </c>
      <c r="G108" s="75">
        <f t="shared" si="5"/>
        <v>490</v>
      </c>
    </row>
    <row r="109" spans="1:15" ht="13">
      <c r="A109" s="30" t="s">
        <v>58</v>
      </c>
      <c r="B109" s="83">
        <v>4721</v>
      </c>
      <c r="C109" s="88" t="s">
        <v>184</v>
      </c>
      <c r="D109" s="85" t="s">
        <v>181</v>
      </c>
      <c r="E109" s="74">
        <v>0.65517199999999998</v>
      </c>
      <c r="F109" s="86">
        <v>179.06</v>
      </c>
      <c r="G109" s="75">
        <f t="shared" si="5"/>
        <v>117.32</v>
      </c>
      <c r="H109" s="97">
        <f>F109+G110</f>
        <v>262.18</v>
      </c>
      <c r="J109" s="92">
        <f>E109*'VIAS CONTEMPLADAS'!F61*0.08</f>
        <v>6033.0334310400003</v>
      </c>
      <c r="K109" s="92">
        <v>125</v>
      </c>
      <c r="M109" s="92">
        <v>125</v>
      </c>
      <c r="O109" s="95"/>
    </row>
    <row r="110" spans="1:15" ht="39">
      <c r="A110" s="85" t="s">
        <v>162</v>
      </c>
      <c r="B110" s="83">
        <v>5919716</v>
      </c>
      <c r="C110" s="84" t="s">
        <v>185</v>
      </c>
      <c r="D110" s="85" t="s">
        <v>164</v>
      </c>
      <c r="E110" s="74">
        <v>0.36</v>
      </c>
      <c r="F110" s="86">
        <v>230.88</v>
      </c>
      <c r="G110" s="75">
        <f t="shared" si="5"/>
        <v>83.12</v>
      </c>
      <c r="H110" s="92" t="s">
        <v>186</v>
      </c>
      <c r="I110" s="98">
        <f>G110/E109</f>
        <v>126.86744899999999</v>
      </c>
      <c r="J110" s="92">
        <f>J109/'VIAS CONTEMPLADAS'!F61</f>
        <v>0.052413759999999997</v>
      </c>
      <c r="K110" s="92">
        <v>2</v>
      </c>
      <c r="L110" s="92">
        <f>K110*J110</f>
        <v>0.10482751999999999</v>
      </c>
      <c r="M110" s="92">
        <v>100</v>
      </c>
      <c r="O110" s="95"/>
    </row>
    <row r="111" spans="1:14" ht="26">
      <c r="A111" s="30" t="s">
        <v>58</v>
      </c>
      <c r="B111" s="99" t="s">
        <v>187</v>
      </c>
      <c r="C111" s="84" t="s">
        <v>188</v>
      </c>
      <c r="D111" s="85" t="s">
        <v>189</v>
      </c>
      <c r="E111" s="74">
        <v>0.020500000000000001</v>
      </c>
      <c r="F111" s="86">
        <v>7.96</v>
      </c>
      <c r="G111" s="75">
        <f t="shared" si="5"/>
        <v>0.16</v>
      </c>
      <c r="I111" s="92" t="s">
        <v>190</v>
      </c>
      <c r="N111" s="92">
        <f>45.02*6000</f>
        <v>270120</v>
      </c>
    </row>
    <row r="112" spans="1:7" ht="13">
      <c r="A112" s="30" t="s">
        <v>58</v>
      </c>
      <c r="B112" s="99" t="s">
        <v>191</v>
      </c>
      <c r="C112" s="88" t="s">
        <v>192</v>
      </c>
      <c r="D112" s="85" t="s">
        <v>66</v>
      </c>
      <c r="E112" s="74">
        <v>1</v>
      </c>
      <c r="F112" s="86">
        <v>5.40</v>
      </c>
      <c r="G112" s="75">
        <f t="shared" si="5"/>
        <v>5.40</v>
      </c>
    </row>
    <row r="113" spans="1:11" ht="13">
      <c r="A113" s="85" t="s">
        <v>162</v>
      </c>
      <c r="B113" s="99" t="s">
        <v>193</v>
      </c>
      <c r="C113" s="84" t="s">
        <v>194</v>
      </c>
      <c r="D113" s="85" t="s">
        <v>66</v>
      </c>
      <c r="E113" s="74">
        <v>0.70</v>
      </c>
      <c r="F113" s="86">
        <v>3.72</v>
      </c>
      <c r="G113" s="75">
        <f t="shared" si="5"/>
        <v>2.60</v>
      </c>
      <c r="K113" s="92">
        <f>12*27*3*0.75</f>
        <v>729</v>
      </c>
    </row>
    <row r="114" spans="1:7" ht="13">
      <c r="A114" s="85" t="s">
        <v>58</v>
      </c>
      <c r="B114" s="99" t="s">
        <v>195</v>
      </c>
      <c r="C114" s="88" t="s">
        <v>196</v>
      </c>
      <c r="D114" s="85" t="s">
        <v>156</v>
      </c>
      <c r="E114" s="74">
        <v>0.105</v>
      </c>
      <c r="F114" s="86">
        <v>22.92</v>
      </c>
      <c r="G114" s="75">
        <f t="shared" si="5"/>
        <v>2.41</v>
      </c>
    </row>
    <row r="115" spans="1:13" ht="13.5" thickBot="1">
      <c r="A115" s="30"/>
      <c r="B115" s="30"/>
      <c r="C115" s="76"/>
      <c r="D115" s="28"/>
      <c r="E115" s="77"/>
      <c r="F115" s="53" t="s">
        <v>48</v>
      </c>
      <c r="G115" s="78">
        <f>SUM(G102:G114)</f>
        <v>1056.78</v>
      </c>
      <c r="M115" s="92" t="s">
        <v>197</v>
      </c>
    </row>
    <row r="116" spans="1:14" ht="13.5" thickBot="1">
      <c r="A116" s="3"/>
      <c r="B116" s="3"/>
      <c r="C116" s="79"/>
      <c r="D116" s="6"/>
      <c r="E116" s="80"/>
      <c r="F116" s="81"/>
      <c r="G116" s="82"/>
      <c r="I116" s="92" t="s">
        <v>198</v>
      </c>
      <c r="J116" s="92">
        <v>6</v>
      </c>
      <c r="K116" s="100">
        <v>125000</v>
      </c>
      <c r="L116" s="100">
        <f>K116*J116</f>
        <v>750000</v>
      </c>
      <c r="M116" s="96">
        <f>L116/L121</f>
        <v>1102.94</v>
      </c>
      <c r="N116" s="101">
        <f>M116/J117</f>
        <v>0.18</v>
      </c>
    </row>
    <row r="117" spans="1:12" ht="13">
      <c r="A117" s="28" t="e">
        <f>#REF!</f>
        <v>#REF!</v>
      </c>
      <c r="B117" s="28" t="str">
        <f>BM!A27</f>
        <v>4.2</v>
      </c>
      <c r="C117" s="29" t="str">
        <f>BM!B27</f>
        <v>MEIO-FIO EM CONCRETO NAS DIMENSÕES 0,30M x 0,12M SEM LÂMINA D'ÁGUA</v>
      </c>
      <c r="D117" s="28" t="str">
        <f>BM!C27</f>
        <v>m</v>
      </c>
      <c r="E117" s="28"/>
      <c r="F117" s="28"/>
      <c r="G117" s="28"/>
      <c r="I117" s="92" t="s">
        <v>199</v>
      </c>
      <c r="J117" s="92">
        <v>6000</v>
      </c>
      <c r="K117" s="100">
        <v>100</v>
      </c>
      <c r="L117" s="100">
        <f>K117*J117</f>
        <v>600000</v>
      </c>
    </row>
    <row r="118" spans="1:12" ht="13">
      <c r="A118" s="28" t="s">
        <v>54</v>
      </c>
      <c r="B118" s="28" t="s">
        <v>55</v>
      </c>
      <c r="C118" s="28" t="s">
        <v>10</v>
      </c>
      <c r="D118" s="28" t="s">
        <v>11</v>
      </c>
      <c r="E118" s="28" t="s">
        <v>56</v>
      </c>
      <c r="F118" s="69" t="s">
        <v>57</v>
      </c>
      <c r="G118" s="70" t="s">
        <v>14</v>
      </c>
      <c r="L118" s="102">
        <f>L116+L117</f>
        <v>1350000</v>
      </c>
    </row>
    <row r="119" spans="1:7" ht="13">
      <c r="A119" s="30" t="s">
        <v>146</v>
      </c>
      <c r="B119" s="83">
        <v>110141</v>
      </c>
      <c r="C119" s="84" t="s">
        <v>200</v>
      </c>
      <c r="D119" s="85" t="s">
        <v>45</v>
      </c>
      <c r="E119" s="74">
        <v>0.0089999999999999993</v>
      </c>
      <c r="F119" s="86">
        <v>564.98</v>
      </c>
      <c r="G119" s="75">
        <f>F119*E119</f>
        <v>5.08</v>
      </c>
    </row>
    <row r="120" spans="1:13" ht="13">
      <c r="A120" s="30" t="s">
        <v>146</v>
      </c>
      <c r="B120" s="83">
        <v>280004</v>
      </c>
      <c r="C120" s="84" t="s">
        <v>201</v>
      </c>
      <c r="D120" s="85" t="s">
        <v>61</v>
      </c>
      <c r="E120" s="74">
        <v>0.39400000000000002</v>
      </c>
      <c r="F120" s="86">
        <v>18.22</v>
      </c>
      <c r="G120" s="75">
        <f t="shared" si="6" ref="G120:G122">F120*E120</f>
        <v>7.18</v>
      </c>
      <c r="K120" s="92" t="s">
        <v>190</v>
      </c>
      <c r="M120" s="92" t="s">
        <v>202</v>
      </c>
    </row>
    <row r="121" spans="1:15" ht="13">
      <c r="A121" s="30" t="s">
        <v>146</v>
      </c>
      <c r="B121" s="83">
        <v>280023</v>
      </c>
      <c r="C121" s="88" t="s">
        <v>175</v>
      </c>
      <c r="D121" s="85" t="s">
        <v>61</v>
      </c>
      <c r="E121" s="74">
        <v>0.39400000000000002</v>
      </c>
      <c r="F121" s="86">
        <v>22.82</v>
      </c>
      <c r="G121" s="75">
        <f t="shared" si="6"/>
        <v>8.99</v>
      </c>
      <c r="K121" s="92">
        <v>6000</v>
      </c>
      <c r="L121" s="92">
        <v>680</v>
      </c>
      <c r="M121" s="92">
        <f>L121*K121</f>
        <v>4080000</v>
      </c>
      <c r="N121" s="92">
        <v>125</v>
      </c>
      <c r="O121" s="92">
        <f>M121/N121</f>
        <v>32640</v>
      </c>
    </row>
    <row r="122" spans="1:7" ht="13">
      <c r="A122" s="30" t="s">
        <v>146</v>
      </c>
      <c r="B122" s="83" t="s">
        <v>203</v>
      </c>
      <c r="C122" s="84" t="s">
        <v>204</v>
      </c>
      <c r="D122" s="85" t="s">
        <v>66</v>
      </c>
      <c r="E122" s="74">
        <v>1</v>
      </c>
      <c r="F122" s="86">
        <v>36</v>
      </c>
      <c r="G122" s="75">
        <f t="shared" si="6"/>
        <v>36</v>
      </c>
    </row>
    <row r="123" spans="1:7" ht="13">
      <c r="A123" s="30"/>
      <c r="B123" s="30"/>
      <c r="C123" s="76"/>
      <c r="D123" s="28"/>
      <c r="E123" s="77"/>
      <c r="F123" s="53" t="s">
        <v>48</v>
      </c>
      <c r="G123" s="78">
        <f>SUM(G119:G122)</f>
        <v>57.25</v>
      </c>
    </row>
    <row r="124" spans="1:12" ht="13">
      <c r="A124" s="3"/>
      <c r="B124" s="3"/>
      <c r="C124" s="79"/>
      <c r="D124" s="6"/>
      <c r="E124" s="80"/>
      <c r="F124" s="81"/>
      <c r="G124" s="82"/>
      <c r="L124" s="92" t="s">
        <v>205</v>
      </c>
    </row>
    <row r="125" spans="1:14" ht="13">
      <c r="A125" s="3"/>
      <c r="B125" s="3"/>
      <c r="C125" s="79"/>
      <c r="D125" s="6"/>
      <c r="E125" s="80"/>
      <c r="F125" s="81"/>
      <c r="G125" s="82"/>
      <c r="J125" s="92">
        <v>127414</v>
      </c>
      <c r="K125" s="92">
        <v>0.08</v>
      </c>
      <c r="L125" s="92">
        <f>K125*J125</f>
        <v>10193.120000000001</v>
      </c>
      <c r="M125" s="92">
        <f>L125*E109</f>
        <v>6678.2468166400004</v>
      </c>
      <c r="N125" s="96">
        <f>M125*G110</f>
        <v>555095.88</v>
      </c>
    </row>
    <row r="126" spans="1:12" ht="13">
      <c r="A126" s="3"/>
      <c r="B126" s="3"/>
      <c r="C126" s="79"/>
      <c r="D126" s="6"/>
      <c r="E126" s="80"/>
      <c r="F126" s="81"/>
      <c r="G126" s="82"/>
      <c r="L126" s="96">
        <f>L125*G110</f>
        <v>847252.13</v>
      </c>
    </row>
    <row r="127" spans="1:12" ht="13">
      <c r="A127" s="3"/>
      <c r="B127" s="3"/>
      <c r="C127" s="79"/>
      <c r="D127" s="6"/>
      <c r="E127" s="80"/>
      <c r="F127" s="81"/>
      <c r="G127" s="82"/>
      <c r="I127" s="92">
        <v>45.02</v>
      </c>
      <c r="J127" s="92">
        <v>680</v>
      </c>
      <c r="K127" s="92">
        <v>10193</v>
      </c>
      <c r="L127" s="92">
        <f>K127*J127*I127</f>
        <v>312044424.80000001</v>
      </c>
    </row>
    <row r="128" spans="1:7" ht="13">
      <c r="A128" s="3"/>
      <c r="B128" s="3"/>
      <c r="C128" s="79"/>
      <c r="D128" s="6"/>
      <c r="E128" s="80"/>
      <c r="F128" s="81"/>
      <c r="G128" s="82"/>
    </row>
    <row r="129" spans="1:1" ht="13">
      <c r="A129" s="103" t="s">
        <v>206</v>
      </c>
    </row>
    <row r="130" spans="1:1" ht="13">
      <c r="A130" s="103" t="s">
        <v>207</v>
      </c>
    </row>
    <row r="131" spans="1:1" ht="13">
      <c r="A131" s="103" t="s">
        <v>208</v>
      </c>
    </row>
  </sheetData>
  <mergeCells count="5">
    <mergeCell ref="A6:G6"/>
    <mergeCell ref="B8:G8"/>
    <mergeCell ref="B70:G70"/>
    <mergeCell ref="B90:G90"/>
    <mergeCell ref="B98:G98"/>
  </mergeCells>
  <printOptions horizontalCentered="1"/>
  <pageMargins left="0.5118110236220472" right="0.5118110236220472" top="0.7874015748031497" bottom="0.7874015748031497" header="0.31496062992125984" footer="0.31496062992125984"/>
  <pageSetup fitToHeight="2" horizontalDpi="360" verticalDpi="360" orientation="portrait" paperSize="9" scale="54" r:id="rId2"/>
  <headerFooter>
    <oddFooter>&amp;CPágina &amp;P de &amp;N</oddFooter>
  </headerFooter>
  <colBreaks count="1" manualBreakCount="1">
    <brk id="2" max="119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700956c-2eae-4412-ae46-74d61a8d060c}">
  <dimension ref="A1:J78"/>
  <sheetViews>
    <sheetView showGridLines="0" view="pageBreakPreview" zoomScaleNormal="100" zoomScaleSheetLayoutView="100" workbookViewId="0" topLeftCell="A58">
      <selection pane="topLeft" activeCell="E34" sqref="E34"/>
    </sheetView>
  </sheetViews>
  <sheetFormatPr defaultColWidth="9.184285714285714" defaultRowHeight="13" customHeight="1"/>
  <cols>
    <col min="1" max="1" width="8.428571428571429" style="414" customWidth="1"/>
    <col min="2" max="2" width="10.714285714285714" style="404" customWidth="1"/>
    <col min="3" max="3" width="79" style="404" customWidth="1"/>
    <col min="4" max="4" width="5.428571428571429" style="404" customWidth="1"/>
    <col min="5" max="5" width="11" style="405" bestFit="1" customWidth="1"/>
    <col min="6" max="6" width="11.428571428571429" style="404" bestFit="1" customWidth="1"/>
    <col min="7" max="7" width="13.571428571428571" style="404" bestFit="1" customWidth="1"/>
    <col min="8" max="8" width="9.142857142857142" style="404"/>
    <col min="9" max="9" width="12.142857142857142" style="404" bestFit="1" customWidth="1"/>
    <col min="10" max="16384" width="9.142857142857142" style="404"/>
  </cols>
  <sheetData>
    <row r="1" spans="1:2" ht="13">
      <c r="A1" s="321" t="s">
        <v>0</v>
      </c>
      <c r="B1" s="321"/>
    </row>
    <row r="2" spans="1:2" ht="13">
      <c r="A2" s="321" t="str">
        <f>medição!A2</f>
        <v>PREFEITURA MUNICIPAL DE TERRA SANTA</v>
      </c>
      <c r="B2" s="321"/>
    </row>
    <row r="3" spans="1:8" ht="12.75" customHeight="1">
      <c r="A3" s="321" t="str">
        <f>medição!A3</f>
        <v>OBRA: CONSTRUÇÃO DA UBS - CONQUISTA</v>
      </c>
      <c r="B3" s="321"/>
      <c r="C3" s="321"/>
      <c r="D3" s="321"/>
      <c r="E3" s="321"/>
      <c r="F3" s="321"/>
      <c r="G3" s="321"/>
      <c r="H3" s="638"/>
    </row>
    <row r="4" spans="1:3" ht="13">
      <c r="A4" s="321" t="str">
        <f>medição!A6</f>
        <v>LICITAÇÃO: CONCORRÊNCIA 03/2023</v>
      </c>
      <c r="B4" s="321"/>
      <c r="C4" s="321"/>
    </row>
    <row r="6" spans="1:10" ht="13">
      <c r="A6" s="639" t="s">
        <v>900</v>
      </c>
      <c r="B6" s="639"/>
      <c r="C6" s="639"/>
      <c r="D6" s="639"/>
      <c r="E6" s="639"/>
      <c r="F6" s="639"/>
      <c r="G6" s="639"/>
      <c r="H6" s="321"/>
      <c r="I6" s="321"/>
      <c r="J6" s="640"/>
    </row>
    <row r="7" spans="1:10" ht="13">
      <c r="A7" s="641"/>
      <c r="B7" s="641"/>
      <c r="C7" s="641"/>
      <c r="D7" s="641"/>
      <c r="E7" s="642"/>
      <c r="F7" s="641"/>
      <c r="G7" s="641"/>
      <c r="H7" s="641"/>
      <c r="I7" s="641"/>
      <c r="J7" s="641"/>
    </row>
    <row r="8" spans="1:7" ht="13">
      <c r="A8" s="643" t="e">
        <f>#REF!</f>
        <v>#REF!</v>
      </c>
      <c r="B8" s="644" t="s">
        <v>39</v>
      </c>
      <c r="C8" s="645" t="s">
        <v>498</v>
      </c>
      <c r="D8" s="646"/>
      <c r="E8" s="647"/>
      <c r="F8" s="646"/>
      <c r="G8" s="648"/>
    </row>
    <row r="9" spans="1:7" ht="13">
      <c r="A9" s="364" t="s">
        <v>901</v>
      </c>
      <c r="B9" s="364" t="s">
        <v>902</v>
      </c>
      <c r="C9" s="364" t="s">
        <v>10</v>
      </c>
      <c r="D9" s="364" t="s">
        <v>11</v>
      </c>
      <c r="E9" s="364" t="s">
        <v>56</v>
      </c>
      <c r="F9" s="349" t="s">
        <v>903</v>
      </c>
      <c r="G9" s="349" t="s">
        <v>14</v>
      </c>
    </row>
    <row r="10" spans="1:7" ht="13">
      <c r="A10" s="356" t="s">
        <v>58</v>
      </c>
      <c r="B10" s="356">
        <v>88316</v>
      </c>
      <c r="C10" s="354" t="s">
        <v>904</v>
      </c>
      <c r="D10" s="391" t="s">
        <v>905</v>
      </c>
      <c r="E10" s="649">
        <f>2*8*2</f>
        <v>32</v>
      </c>
      <c r="F10" s="650">
        <v>19.22</v>
      </c>
      <c r="G10" s="395">
        <f>E10*F10</f>
        <v>615.04</v>
      </c>
    </row>
    <row r="11" spans="1:7" ht="13">
      <c r="A11" s="391" t="s">
        <v>58</v>
      </c>
      <c r="B11" s="73">
        <v>88286</v>
      </c>
      <c r="C11" s="392" t="s">
        <v>906</v>
      </c>
      <c r="D11" s="391" t="s">
        <v>905</v>
      </c>
      <c r="E11" s="649">
        <f>1*8*2</f>
        <v>16</v>
      </c>
      <c r="F11" s="650">
        <v>21.90</v>
      </c>
      <c r="G11" s="395">
        <f t="shared" si="0" ref="G11:G13">E11*F11</f>
        <v>350.40</v>
      </c>
    </row>
    <row r="12" spans="1:7" ht="39">
      <c r="A12" s="391" t="s">
        <v>58</v>
      </c>
      <c r="B12" s="356">
        <v>91395</v>
      </c>
      <c r="C12" s="651" t="s">
        <v>907</v>
      </c>
      <c r="D12" s="391" t="s">
        <v>158</v>
      </c>
      <c r="E12" s="649">
        <f>1*8*2</f>
        <v>16</v>
      </c>
      <c r="F12" s="650">
        <v>43.62</v>
      </c>
      <c r="G12" s="395">
        <f t="shared" si="0"/>
        <v>697.92</v>
      </c>
    </row>
    <row r="13" spans="1:7" ht="39">
      <c r="A13" s="391" t="s">
        <v>58</v>
      </c>
      <c r="B13" s="73">
        <v>73467</v>
      </c>
      <c r="C13" s="651" t="s">
        <v>908</v>
      </c>
      <c r="D13" s="391" t="s">
        <v>160</v>
      </c>
      <c r="E13" s="649">
        <f>1*8*2</f>
        <v>16</v>
      </c>
      <c r="F13" s="650">
        <v>240.86</v>
      </c>
      <c r="G13" s="395">
        <f t="shared" si="0"/>
        <v>3853.76</v>
      </c>
    </row>
    <row r="14" spans="1:7" ht="13">
      <c r="A14" s="391"/>
      <c r="B14" s="392"/>
      <c r="C14" s="392"/>
      <c r="D14" s="392"/>
      <c r="E14" s="393"/>
      <c r="F14" s="652" t="s">
        <v>48</v>
      </c>
      <c r="G14" s="652">
        <f>SUM(G10:G13)</f>
        <v>5517.12</v>
      </c>
    </row>
    <row r="15" spans="5:7" ht="13">
      <c r="E15" s="317"/>
      <c r="F15" s="653"/>
      <c r="G15" s="653"/>
    </row>
    <row r="16" spans="1:7" ht="13">
      <c r="A16" s="644" t="s">
        <v>909</v>
      </c>
      <c r="B16" s="644" t="s">
        <v>910</v>
      </c>
      <c r="C16" s="645" t="s">
        <v>499</v>
      </c>
      <c r="D16" s="646"/>
      <c r="E16" s="647"/>
      <c r="F16" s="646"/>
      <c r="G16" s="648"/>
    </row>
    <row r="17" spans="1:7" ht="13">
      <c r="A17" s="364" t="s">
        <v>901</v>
      </c>
      <c r="B17" s="364" t="s">
        <v>902</v>
      </c>
      <c r="C17" s="364" t="s">
        <v>10</v>
      </c>
      <c r="D17" s="364" t="s">
        <v>11</v>
      </c>
      <c r="E17" s="364" t="s">
        <v>56</v>
      </c>
      <c r="F17" s="349" t="s">
        <v>903</v>
      </c>
      <c r="G17" s="349" t="s">
        <v>14</v>
      </c>
    </row>
    <row r="18" spans="1:7" ht="13">
      <c r="A18" s="356" t="s">
        <v>58</v>
      </c>
      <c r="B18" s="356">
        <v>88316</v>
      </c>
      <c r="C18" s="354" t="s">
        <v>904</v>
      </c>
      <c r="D18" s="391" t="s">
        <v>905</v>
      </c>
      <c r="E18" s="649">
        <f>2*8*2</f>
        <v>32</v>
      </c>
      <c r="F18" s="650">
        <v>19.22</v>
      </c>
      <c r="G18" s="395">
        <f>E18*F18</f>
        <v>615.04</v>
      </c>
    </row>
    <row r="19" spans="1:7" ht="13">
      <c r="A19" s="391" t="s">
        <v>58</v>
      </c>
      <c r="B19" s="73">
        <v>88286</v>
      </c>
      <c r="C19" s="392" t="s">
        <v>906</v>
      </c>
      <c r="D19" s="391" t="s">
        <v>905</v>
      </c>
      <c r="E19" s="649">
        <f>1*8*2</f>
        <v>16</v>
      </c>
      <c r="F19" s="650">
        <v>21.90</v>
      </c>
      <c r="G19" s="395">
        <f t="shared" si="1" ref="G19:G21">E19*F19</f>
        <v>350.40</v>
      </c>
    </row>
    <row r="20" spans="1:7" ht="39">
      <c r="A20" s="391" t="s">
        <v>58</v>
      </c>
      <c r="B20" s="356">
        <v>91395</v>
      </c>
      <c r="C20" s="651" t="s">
        <v>907</v>
      </c>
      <c r="D20" s="391" t="s">
        <v>158</v>
      </c>
      <c r="E20" s="649">
        <f>1*8*2</f>
        <v>16</v>
      </c>
      <c r="F20" s="650">
        <v>43.62</v>
      </c>
      <c r="G20" s="395">
        <f t="shared" si="1"/>
        <v>697.92</v>
      </c>
    </row>
    <row r="21" spans="1:7" ht="39">
      <c r="A21" s="391" t="s">
        <v>58</v>
      </c>
      <c r="B21" s="73">
        <v>73467</v>
      </c>
      <c r="C21" s="651" t="s">
        <v>908</v>
      </c>
      <c r="D21" s="391" t="s">
        <v>160</v>
      </c>
      <c r="E21" s="649">
        <f>1*8*2</f>
        <v>16</v>
      </c>
      <c r="F21" s="650">
        <v>240.86</v>
      </c>
      <c r="G21" s="395">
        <f t="shared" si="1"/>
        <v>3853.76</v>
      </c>
    </row>
    <row r="22" spans="1:7" ht="13">
      <c r="A22" s="391"/>
      <c r="B22" s="392"/>
      <c r="C22" s="392"/>
      <c r="D22" s="392"/>
      <c r="E22" s="393"/>
      <c r="F22" s="652" t="s">
        <v>48</v>
      </c>
      <c r="G22" s="652">
        <f>SUM(G18:G21)</f>
        <v>5517.12</v>
      </c>
    </row>
    <row r="24" spans="1:7" ht="13">
      <c r="A24" s="654" t="s">
        <v>911</v>
      </c>
      <c r="B24" s="654" t="s">
        <v>43</v>
      </c>
      <c r="C24" s="645" t="s">
        <v>40</v>
      </c>
      <c r="D24" s="655"/>
      <c r="E24" s="656"/>
      <c r="F24" s="655"/>
      <c r="G24" s="657"/>
    </row>
    <row r="25" spans="1:7" ht="13">
      <c r="A25" s="364" t="s">
        <v>901</v>
      </c>
      <c r="B25" s="364" t="s">
        <v>902</v>
      </c>
      <c r="C25" s="364" t="s">
        <v>10</v>
      </c>
      <c r="D25" s="364" t="s">
        <v>11</v>
      </c>
      <c r="E25" s="364" t="s">
        <v>56</v>
      </c>
      <c r="F25" s="349" t="s">
        <v>903</v>
      </c>
      <c r="G25" s="349" t="s">
        <v>14</v>
      </c>
    </row>
    <row r="26" spans="1:9" ht="13">
      <c r="A26" s="391" t="s">
        <v>58</v>
      </c>
      <c r="B26" s="73">
        <v>90777</v>
      </c>
      <c r="C26" s="658" t="s">
        <v>912</v>
      </c>
      <c r="D26" s="391" t="s">
        <v>905</v>
      </c>
      <c r="E26" s="649">
        <f>G33</f>
        <v>96</v>
      </c>
      <c r="F26" s="650">
        <v>98.15</v>
      </c>
      <c r="G26" s="395">
        <f>E26*F26</f>
        <v>9422.40</v>
      </c>
      <c r="H26" s="327"/>
      <c r="I26" s="327"/>
    </row>
    <row r="27" spans="1:7" ht="13">
      <c r="A27" s="391" t="s">
        <v>58</v>
      </c>
      <c r="B27" s="73">
        <v>90776</v>
      </c>
      <c r="C27" s="392" t="s">
        <v>913</v>
      </c>
      <c r="D27" s="391" t="s">
        <v>905</v>
      </c>
      <c r="E27" s="649">
        <f>G34</f>
        <v>640</v>
      </c>
      <c r="F27" s="650">
        <v>20.81</v>
      </c>
      <c r="G27" s="395">
        <f t="shared" si="2" ref="G27:G28">E27*F27</f>
        <v>13318.40</v>
      </c>
    </row>
    <row r="28" spans="1:7" ht="13">
      <c r="A28" s="391" t="s">
        <v>58</v>
      </c>
      <c r="B28" s="73">
        <v>88326</v>
      </c>
      <c r="C28" s="392" t="s">
        <v>914</v>
      </c>
      <c r="D28" s="391" t="s">
        <v>905</v>
      </c>
      <c r="E28" s="649">
        <f>G35</f>
        <v>1408</v>
      </c>
      <c r="F28" s="650">
        <v>23.39</v>
      </c>
      <c r="G28" s="395">
        <f t="shared" si="2"/>
        <v>32933.120000000003</v>
      </c>
    </row>
    <row r="29" spans="1:7" ht="13">
      <c r="A29" s="391"/>
      <c r="B29" s="73"/>
      <c r="C29" s="392"/>
      <c r="D29" s="391"/>
      <c r="E29" s="393"/>
      <c r="F29" s="652" t="s">
        <v>48</v>
      </c>
      <c r="G29" s="652">
        <f>SUM(G26:G28)</f>
        <v>55673.92</v>
      </c>
    </row>
    <row r="30" spans="1:7" ht="13">
      <c r="A30" s="659"/>
      <c r="B30" s="655"/>
      <c r="C30" s="655"/>
      <c r="D30" s="659"/>
      <c r="E30" s="656"/>
      <c r="F30" s="660"/>
      <c r="G30" s="660"/>
    </row>
    <row r="31" spans="1:9" ht="13">
      <c r="A31" s="392"/>
      <c r="B31" s="661" t="s">
        <v>915</v>
      </c>
      <c r="C31" s="662" t="s">
        <v>916</v>
      </c>
      <c r="D31" s="663"/>
      <c r="E31" s="664"/>
      <c r="F31" s="663"/>
      <c r="G31" s="665"/>
      <c r="I31" s="327"/>
    </row>
    <row r="32" spans="1:7" ht="13">
      <c r="A32" s="364" t="s">
        <v>901</v>
      </c>
      <c r="B32" s="364" t="s">
        <v>902</v>
      </c>
      <c r="C32" s="364" t="s">
        <v>306</v>
      </c>
      <c r="D32" s="364" t="s">
        <v>917</v>
      </c>
      <c r="E32" s="348" t="s">
        <v>918</v>
      </c>
      <c r="F32" s="364" t="s">
        <v>919</v>
      </c>
      <c r="G32" s="364" t="s">
        <v>920</v>
      </c>
    </row>
    <row r="33" spans="1:7" ht="13">
      <c r="A33" s="391" t="s">
        <v>58</v>
      </c>
      <c r="B33" s="666">
        <v>90777</v>
      </c>
      <c r="C33" s="667" t="s">
        <v>912</v>
      </c>
      <c r="D33" s="493">
        <v>3</v>
      </c>
      <c r="E33" s="352">
        <v>4</v>
      </c>
      <c r="F33" s="493">
        <v>8</v>
      </c>
      <c r="G33" s="493">
        <f>D33*E33*F33</f>
        <v>96</v>
      </c>
    </row>
    <row r="34" spans="1:7" ht="13">
      <c r="A34" s="391" t="s">
        <v>58</v>
      </c>
      <c r="B34" s="391">
        <v>90776</v>
      </c>
      <c r="C34" s="667" t="s">
        <v>913</v>
      </c>
      <c r="D34" s="493">
        <v>8</v>
      </c>
      <c r="E34" s="352">
        <v>10</v>
      </c>
      <c r="F34" s="493">
        <v>8</v>
      </c>
      <c r="G34" s="493">
        <f t="shared" si="3" ref="G34:G35">D34*E34*F34</f>
        <v>640</v>
      </c>
    </row>
    <row r="35" spans="1:7" ht="13">
      <c r="A35" s="391" t="s">
        <v>58</v>
      </c>
      <c r="B35" s="391">
        <v>88326</v>
      </c>
      <c r="C35" s="667" t="s">
        <v>914</v>
      </c>
      <c r="D35" s="493">
        <v>8</v>
      </c>
      <c r="E35" s="352">
        <v>22</v>
      </c>
      <c r="F35" s="493">
        <v>8</v>
      </c>
      <c r="G35" s="493">
        <f t="shared" si="3"/>
        <v>1408</v>
      </c>
    </row>
    <row r="36" spans="4:7" ht="13">
      <c r="D36" s="414"/>
      <c r="E36" s="317"/>
      <c r="F36" s="653"/>
      <c r="G36" s="653"/>
    </row>
    <row r="37" spans="1:7" ht="25.5" customHeight="1">
      <c r="A37" s="654" t="e">
        <f>#REF!</f>
        <v>#REF!</v>
      </c>
      <c r="B37" s="668" t="s">
        <v>635</v>
      </c>
      <c r="C37" s="669" t="s">
        <v>590</v>
      </c>
      <c r="D37" s="669"/>
      <c r="E37" s="669"/>
      <c r="F37" s="669"/>
      <c r="G37" s="669"/>
    </row>
    <row r="38" spans="1:7" ht="13">
      <c r="A38" s="364" t="s">
        <v>901</v>
      </c>
      <c r="B38" s="364" t="s">
        <v>902</v>
      </c>
      <c r="C38" s="364" t="s">
        <v>10</v>
      </c>
      <c r="D38" s="364" t="s">
        <v>11</v>
      </c>
      <c r="E38" s="364" t="s">
        <v>56</v>
      </c>
      <c r="F38" s="349" t="s">
        <v>903</v>
      </c>
      <c r="G38" s="349" t="s">
        <v>14</v>
      </c>
    </row>
    <row r="39" spans="1:7" ht="26">
      <c r="A39" s="391" t="s">
        <v>58</v>
      </c>
      <c r="B39" s="73">
        <v>90447</v>
      </c>
      <c r="C39" s="651" t="s">
        <v>921</v>
      </c>
      <c r="D39" s="391" t="s">
        <v>29</v>
      </c>
      <c r="E39" s="649">
        <v>2.2000000000000002</v>
      </c>
      <c r="F39" s="650">
        <v>5.91</v>
      </c>
      <c r="G39" s="395">
        <f t="shared" si="4" ref="G39:G45">E39*F39</f>
        <v>13</v>
      </c>
    </row>
    <row r="40" spans="1:7" ht="13">
      <c r="A40" s="391" t="s">
        <v>58</v>
      </c>
      <c r="B40" s="73">
        <v>90456</v>
      </c>
      <c r="C40" s="392" t="s">
        <v>922</v>
      </c>
      <c r="D40" s="391" t="s">
        <v>11</v>
      </c>
      <c r="E40" s="649">
        <v>1</v>
      </c>
      <c r="F40" s="650">
        <v>3.77</v>
      </c>
      <c r="G40" s="395">
        <f t="shared" si="4"/>
        <v>3.77</v>
      </c>
    </row>
    <row r="41" spans="1:7" ht="26">
      <c r="A41" s="391" t="s">
        <v>58</v>
      </c>
      <c r="B41" s="73">
        <v>90466</v>
      </c>
      <c r="C41" s="651" t="s">
        <v>923</v>
      </c>
      <c r="D41" s="391" t="s">
        <v>29</v>
      </c>
      <c r="E41" s="649">
        <v>2.2000000000000002</v>
      </c>
      <c r="F41" s="650">
        <v>12.63</v>
      </c>
      <c r="G41" s="395">
        <f t="shared" si="4"/>
        <v>27.79</v>
      </c>
    </row>
    <row r="42" spans="1:7" ht="26">
      <c r="A42" s="391" t="s">
        <v>58</v>
      </c>
      <c r="B42" s="73">
        <v>91842</v>
      </c>
      <c r="C42" s="651" t="s">
        <v>924</v>
      </c>
      <c r="D42" s="391" t="s">
        <v>29</v>
      </c>
      <c r="E42" s="649">
        <v>2</v>
      </c>
      <c r="F42" s="650">
        <v>5.88</v>
      </c>
      <c r="G42" s="395">
        <f t="shared" si="4"/>
        <v>11.76</v>
      </c>
    </row>
    <row r="43" spans="1:7" ht="26">
      <c r="A43" s="391" t="s">
        <v>58</v>
      </c>
      <c r="B43" s="73">
        <v>91852</v>
      </c>
      <c r="C43" s="651" t="s">
        <v>925</v>
      </c>
      <c r="D43" s="391" t="s">
        <v>29</v>
      </c>
      <c r="E43" s="649">
        <v>2.2000000000000002</v>
      </c>
      <c r="F43" s="650">
        <v>8.16</v>
      </c>
      <c r="G43" s="395">
        <f t="shared" si="4"/>
        <v>17.95</v>
      </c>
    </row>
    <row r="44" spans="1:7" ht="26">
      <c r="A44" s="391" t="s">
        <v>58</v>
      </c>
      <c r="B44" s="73">
        <v>91924</v>
      </c>
      <c r="C44" s="651" t="s">
        <v>79</v>
      </c>
      <c r="D44" s="391" t="s">
        <v>29</v>
      </c>
      <c r="E44" s="649">
        <v>8.40</v>
      </c>
      <c r="F44" s="650">
        <v>2.86</v>
      </c>
      <c r="G44" s="395">
        <f t="shared" si="4"/>
        <v>24.02</v>
      </c>
    </row>
    <row r="45" spans="1:7" ht="13">
      <c r="A45" s="391" t="s">
        <v>58</v>
      </c>
      <c r="B45" s="73">
        <v>91937</v>
      </c>
      <c r="C45" s="651" t="s">
        <v>83</v>
      </c>
      <c r="D45" s="391" t="s">
        <v>11</v>
      </c>
      <c r="E45" s="649">
        <v>0.375</v>
      </c>
      <c r="F45" s="650">
        <v>11.09</v>
      </c>
      <c r="G45" s="395">
        <f t="shared" si="4"/>
        <v>4.16</v>
      </c>
    </row>
    <row r="46" spans="1:7" ht="13">
      <c r="A46" s="391"/>
      <c r="B46" s="392"/>
      <c r="C46" s="392"/>
      <c r="D46" s="392"/>
      <c r="E46" s="393"/>
      <c r="F46" s="652" t="s">
        <v>48</v>
      </c>
      <c r="G46" s="670">
        <f>SUM(G39:G45)</f>
        <v>102.45</v>
      </c>
    </row>
    <row r="47" spans="5:7" ht="13.5" customHeight="1">
      <c r="E47" s="317"/>
      <c r="F47" s="653"/>
      <c r="G47" s="671"/>
    </row>
    <row r="48" spans="1:7" ht="13">
      <c r="A48" s="654" t="s">
        <v>926</v>
      </c>
      <c r="B48" s="668" t="s">
        <v>927</v>
      </c>
      <c r="C48" s="672" t="s">
        <v>928</v>
      </c>
      <c r="D48" s="673"/>
      <c r="E48" s="673"/>
      <c r="F48" s="673"/>
      <c r="G48" s="674"/>
    </row>
    <row r="49" spans="1:7" ht="13">
      <c r="A49" s="364" t="s">
        <v>901</v>
      </c>
      <c r="B49" s="364" t="s">
        <v>902</v>
      </c>
      <c r="C49" s="364" t="s">
        <v>10</v>
      </c>
      <c r="D49" s="364" t="s">
        <v>11</v>
      </c>
      <c r="E49" s="364" t="s">
        <v>56</v>
      </c>
      <c r="F49" s="349" t="s">
        <v>903</v>
      </c>
      <c r="G49" s="349" t="s">
        <v>14</v>
      </c>
    </row>
    <row r="50" spans="1:7" ht="13">
      <c r="A50" s="391" t="s">
        <v>58</v>
      </c>
      <c r="B50" s="73">
        <v>3146</v>
      </c>
      <c r="C50" s="392" t="s">
        <v>929</v>
      </c>
      <c r="D50" s="391" t="s">
        <v>930</v>
      </c>
      <c r="E50" s="649">
        <v>1</v>
      </c>
      <c r="F50" s="650">
        <v>3.40</v>
      </c>
      <c r="G50" s="395">
        <f t="shared" si="5" ref="G50:G53">E50*F50</f>
        <v>3.40</v>
      </c>
    </row>
    <row r="51" spans="1:7" ht="13">
      <c r="A51" s="391" t="s">
        <v>58</v>
      </c>
      <c r="B51" s="73">
        <v>3515</v>
      </c>
      <c r="C51" s="392" t="s">
        <v>928</v>
      </c>
      <c r="D51" s="391" t="s">
        <v>930</v>
      </c>
      <c r="E51" s="649">
        <v>1</v>
      </c>
      <c r="F51" s="650">
        <v>7.24</v>
      </c>
      <c r="G51" s="395">
        <f t="shared" si="5"/>
        <v>7.24</v>
      </c>
    </row>
    <row r="52" spans="1:7" ht="13">
      <c r="A52" s="391" t="s">
        <v>58</v>
      </c>
      <c r="B52" s="73">
        <v>88248</v>
      </c>
      <c r="C52" s="392" t="s">
        <v>931</v>
      </c>
      <c r="D52" s="391" t="s">
        <v>905</v>
      </c>
      <c r="E52" s="649">
        <v>0.15</v>
      </c>
      <c r="F52" s="650">
        <v>19.09</v>
      </c>
      <c r="G52" s="395">
        <f t="shared" si="5"/>
        <v>2.86</v>
      </c>
    </row>
    <row r="53" spans="1:7" ht="13">
      <c r="A53" s="391" t="s">
        <v>58</v>
      </c>
      <c r="B53" s="73">
        <v>88267</v>
      </c>
      <c r="C53" s="392" t="s">
        <v>932</v>
      </c>
      <c r="D53" s="391" t="s">
        <v>905</v>
      </c>
      <c r="E53" s="649">
        <v>0.15</v>
      </c>
      <c r="F53" s="650">
        <v>23.22</v>
      </c>
      <c r="G53" s="395">
        <f t="shared" si="5"/>
        <v>3.48</v>
      </c>
    </row>
    <row r="54" spans="1:7" ht="13">
      <c r="A54" s="391"/>
      <c r="B54" s="391"/>
      <c r="C54" s="392"/>
      <c r="D54" s="391"/>
      <c r="E54" s="352"/>
      <c r="F54" s="652" t="s">
        <v>48</v>
      </c>
      <c r="G54" s="652">
        <f>SUM(G50:G53)</f>
        <v>16.98</v>
      </c>
    </row>
    <row r="55" spans="1:7" ht="13">
      <c r="A55" s="675"/>
      <c r="B55" s="675"/>
      <c r="C55" s="676"/>
      <c r="D55" s="675"/>
      <c r="E55" s="677"/>
      <c r="F55" s="653"/>
      <c r="G55" s="653"/>
    </row>
    <row r="56" spans="1:7" ht="13">
      <c r="A56" s="654" t="s">
        <v>933</v>
      </c>
      <c r="B56" s="668" t="str">
        <f>medição!A134</f>
        <v>14.5</v>
      </c>
      <c r="C56" s="672" t="str">
        <f>medição!B134</f>
        <v>BANCADA EM GRANITO POLIDO C/CUBA INOX, INCL. VÁLVULA, SIFÃO E TORNEIRA, FORNECIMENTO E INSTALAÇÃO.</v>
      </c>
      <c r="D56" s="673"/>
      <c r="E56" s="673"/>
      <c r="F56" s="673"/>
      <c r="G56" s="674"/>
    </row>
    <row r="57" spans="1:7" ht="13">
      <c r="A57" s="364" t="s">
        <v>901</v>
      </c>
      <c r="B57" s="364" t="s">
        <v>902</v>
      </c>
      <c r="C57" s="364" t="s">
        <v>10</v>
      </c>
      <c r="D57" s="364" t="s">
        <v>11</v>
      </c>
      <c r="E57" s="364" t="s">
        <v>56</v>
      </c>
      <c r="F57" s="349" t="s">
        <v>903</v>
      </c>
      <c r="G57" s="349" t="s">
        <v>14</v>
      </c>
    </row>
    <row r="58" spans="1:7" ht="13">
      <c r="A58" s="391" t="s">
        <v>58</v>
      </c>
      <c r="B58" s="678">
        <v>11692</v>
      </c>
      <c r="C58" s="679" t="s">
        <v>934</v>
      </c>
      <c r="D58" s="680" t="s">
        <v>24</v>
      </c>
      <c r="E58" s="649">
        <f>(4*0.55)+1</f>
        <v>3.20</v>
      </c>
      <c r="F58" s="395">
        <v>631.49</v>
      </c>
      <c r="G58" s="395">
        <f>E58*F58</f>
        <v>2020.77</v>
      </c>
    </row>
    <row r="59" spans="1:7" ht="26">
      <c r="A59" s="391" t="s">
        <v>58</v>
      </c>
      <c r="B59" s="681">
        <v>86936</v>
      </c>
      <c r="C59" s="682" t="s">
        <v>935</v>
      </c>
      <c r="D59" s="683" t="s">
        <v>930</v>
      </c>
      <c r="E59" s="649">
        <v>2</v>
      </c>
      <c r="F59" s="684">
        <v>491.84</v>
      </c>
      <c r="G59" s="395">
        <f>E59*F59</f>
        <v>983.68</v>
      </c>
    </row>
    <row r="60" spans="1:7" ht="26">
      <c r="A60" s="391" t="s">
        <v>58</v>
      </c>
      <c r="B60" s="681">
        <v>13415</v>
      </c>
      <c r="C60" s="682" t="s">
        <v>936</v>
      </c>
      <c r="D60" s="683" t="s">
        <v>930</v>
      </c>
      <c r="E60" s="649">
        <v>5</v>
      </c>
      <c r="F60" s="395">
        <v>49.90</v>
      </c>
      <c r="G60" s="395">
        <f t="shared" si="6" ref="G60:G66">E60*F60</f>
        <v>249.50</v>
      </c>
    </row>
    <row r="61" spans="1:7" ht="13">
      <c r="A61" s="391" t="s">
        <v>58</v>
      </c>
      <c r="B61" s="678">
        <v>37591</v>
      </c>
      <c r="C61" s="685" t="s">
        <v>937</v>
      </c>
      <c r="D61" s="683" t="s">
        <v>34</v>
      </c>
      <c r="E61" s="649">
        <v>1</v>
      </c>
      <c r="F61" s="395">
        <v>26.35</v>
      </c>
      <c r="G61" s="395">
        <f t="shared" si="6"/>
        <v>26.35</v>
      </c>
    </row>
    <row r="62" spans="1:7" ht="13">
      <c r="A62" s="391" t="s">
        <v>58</v>
      </c>
      <c r="B62" s="678">
        <v>4823</v>
      </c>
      <c r="C62" s="685" t="s">
        <v>938</v>
      </c>
      <c r="D62" s="680" t="s">
        <v>939</v>
      </c>
      <c r="E62" s="649">
        <v>1</v>
      </c>
      <c r="F62" s="395">
        <v>50.96</v>
      </c>
      <c r="G62" s="395">
        <f t="shared" si="6"/>
        <v>50.96</v>
      </c>
    </row>
    <row r="63" spans="1:7" ht="26">
      <c r="A63" s="391" t="s">
        <v>58</v>
      </c>
      <c r="B63" s="678">
        <v>7568</v>
      </c>
      <c r="C63" s="685" t="s">
        <v>940</v>
      </c>
      <c r="D63" s="683" t="s">
        <v>34</v>
      </c>
      <c r="E63" s="649">
        <v>6</v>
      </c>
      <c r="F63" s="395">
        <v>1.22</v>
      </c>
      <c r="G63" s="395">
        <f t="shared" si="6"/>
        <v>7.32</v>
      </c>
    </row>
    <row r="64" spans="1:7" ht="13">
      <c r="A64" s="391" t="s">
        <v>58</v>
      </c>
      <c r="B64" s="678">
        <v>37329</v>
      </c>
      <c r="C64" s="667" t="s">
        <v>941</v>
      </c>
      <c r="D64" s="680" t="s">
        <v>939</v>
      </c>
      <c r="E64" s="649">
        <v>0.50</v>
      </c>
      <c r="F64" s="395">
        <v>101.41</v>
      </c>
      <c r="G64" s="395">
        <f t="shared" si="6"/>
        <v>50.71</v>
      </c>
    </row>
    <row r="65" spans="1:7" ht="13">
      <c r="A65" s="391" t="s">
        <v>58</v>
      </c>
      <c r="B65" s="678">
        <v>88274</v>
      </c>
      <c r="C65" s="667" t="s">
        <v>942</v>
      </c>
      <c r="D65" s="680" t="s">
        <v>905</v>
      </c>
      <c r="E65" s="649">
        <v>1</v>
      </c>
      <c r="F65" s="395">
        <v>24.59</v>
      </c>
      <c r="G65" s="395">
        <f t="shared" si="6"/>
        <v>24.59</v>
      </c>
    </row>
    <row r="66" spans="1:7" ht="13">
      <c r="A66" s="391" t="s">
        <v>58</v>
      </c>
      <c r="B66" s="678">
        <v>88316</v>
      </c>
      <c r="C66" s="686" t="s">
        <v>943</v>
      </c>
      <c r="D66" s="680" t="s">
        <v>905</v>
      </c>
      <c r="E66" s="649">
        <v>1</v>
      </c>
      <c r="F66" s="395">
        <v>19.22</v>
      </c>
      <c r="G66" s="395">
        <f t="shared" si="6"/>
        <v>19.22</v>
      </c>
    </row>
    <row r="67" spans="1:7" ht="13">
      <c r="A67" s="391"/>
      <c r="B67" s="392"/>
      <c r="C67" s="392"/>
      <c r="D67" s="391"/>
      <c r="E67" s="393"/>
      <c r="F67" s="652" t="s">
        <v>48</v>
      </c>
      <c r="G67" s="652">
        <f>SUM(G58:G66)</f>
        <v>3433.10</v>
      </c>
    </row>
    <row r="69" spans="1:7" ht="13">
      <c r="A69" s="654" t="s">
        <v>944</v>
      </c>
      <c r="B69" s="668" t="str">
        <f>medição!A160</f>
        <v>18.1</v>
      </c>
      <c r="C69" s="687" t="s">
        <v>733</v>
      </c>
      <c r="D69" s="687"/>
      <c r="E69" s="687"/>
      <c r="F69" s="687"/>
      <c r="G69" s="687"/>
    </row>
    <row r="70" spans="1:7" ht="13">
      <c r="A70" s="364" t="s">
        <v>901</v>
      </c>
      <c r="B70" s="364" t="s">
        <v>902</v>
      </c>
      <c r="C70" s="364" t="s">
        <v>10</v>
      </c>
      <c r="D70" s="364" t="s">
        <v>11</v>
      </c>
      <c r="E70" s="364" t="s">
        <v>56</v>
      </c>
      <c r="F70" s="349" t="s">
        <v>903</v>
      </c>
      <c r="G70" s="349" t="s">
        <v>14</v>
      </c>
    </row>
    <row r="71" spans="1:7" ht="13">
      <c r="A71" s="391" t="s">
        <v>58</v>
      </c>
      <c r="B71" s="73">
        <v>88316</v>
      </c>
      <c r="C71" s="392" t="s">
        <v>943</v>
      </c>
      <c r="D71" s="391" t="s">
        <v>905</v>
      </c>
      <c r="E71" s="649">
        <v>0.15</v>
      </c>
      <c r="F71" s="650">
        <v>19.22</v>
      </c>
      <c r="G71" s="395">
        <f t="shared" si="7" ref="G71:G72">E71*F71</f>
        <v>2.88</v>
      </c>
    </row>
    <row r="72" spans="1:7" ht="13">
      <c r="A72" s="391" t="s">
        <v>58</v>
      </c>
      <c r="B72" s="73">
        <v>3</v>
      </c>
      <c r="C72" s="392" t="s">
        <v>945</v>
      </c>
      <c r="D72" s="391" t="s">
        <v>189</v>
      </c>
      <c r="E72" s="649">
        <v>0.10</v>
      </c>
      <c r="F72" s="650">
        <v>17.37</v>
      </c>
      <c r="G72" s="395">
        <f t="shared" si="7"/>
        <v>1.74</v>
      </c>
    </row>
    <row r="73" spans="1:7" ht="13">
      <c r="A73" s="391"/>
      <c r="B73" s="392"/>
      <c r="C73" s="392"/>
      <c r="D73" s="392"/>
      <c r="E73" s="393"/>
      <c r="F73" s="652" t="s">
        <v>48</v>
      </c>
      <c r="G73" s="670">
        <f>SUM(G71:G72)</f>
        <v>4.62</v>
      </c>
    </row>
    <row r="77" spans="1:1" ht="13">
      <c r="A77" s="688" t="s">
        <v>206</v>
      </c>
    </row>
    <row r="78" spans="1:1" ht="13">
      <c r="A78" s="688" t="s">
        <v>899</v>
      </c>
    </row>
  </sheetData>
  <mergeCells count="5">
    <mergeCell ref="C48:G48"/>
    <mergeCell ref="A6:G6"/>
    <mergeCell ref="C69:G69"/>
    <mergeCell ref="C37:G37"/>
    <mergeCell ref="C56:G56"/>
  </mergeCells>
  <printOptions horizontalCentered="1"/>
  <pageMargins left="0.7" right="0.7" top="0.75" bottom="0.75" header="0.3" footer="0.3"/>
  <pageSetup fitToHeight="3" horizontalDpi="360" verticalDpi="360" orientation="portrait" paperSize="9" scale="61" r:id="rId2"/>
  <headerFooter>
    <oddFooter>&amp;CPágina &amp;P de &amp;N</oddFooter>
  </headerFooter>
  <rowBreaks count="1" manualBreakCount="1">
    <brk id="68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79d55a-411a-4887-9f70-42d97c2cf136}">
  <sheetPr>
    <pageSetUpPr fitToPage="1"/>
  </sheetPr>
  <dimension ref="A1:O56"/>
  <sheetViews>
    <sheetView showGridLines="0" view="pageBreakPreview" zoomScale="85" zoomScaleNormal="100" zoomScaleSheetLayoutView="85" workbookViewId="0" topLeftCell="A1">
      <selection pane="topLeft" activeCell="K49" sqref="K49"/>
    </sheetView>
  </sheetViews>
  <sheetFormatPr defaultColWidth="9.184285714285714" defaultRowHeight="13" customHeight="1"/>
  <cols>
    <col min="1" max="1" width="7" style="756" customWidth="1"/>
    <col min="2" max="2" width="30.142857142857142" style="756" bestFit="1" customWidth="1"/>
    <col min="3" max="3" width="15.285714285714286" style="757" bestFit="1" customWidth="1"/>
    <col min="4" max="4" width="13.571428571428571" style="756" bestFit="1" customWidth="1"/>
    <col min="5" max="7" width="13.714285714285714" style="756" bestFit="1" customWidth="1"/>
    <col min="8" max="8" width="14.714285714285714" style="756" customWidth="1"/>
    <col min="9" max="10" width="14.285714285714286" style="756" customWidth="1"/>
    <col min="11" max="11" width="13.714285714285714" style="756" customWidth="1"/>
    <col min="12" max="14" width="9.142857142857142" style="756"/>
    <col min="15" max="15" width="13.714285714285714" style="756" bestFit="1" customWidth="1"/>
    <col min="16" max="16384" width="9.142857142857142" style="756"/>
  </cols>
  <sheetData>
    <row r="1" spans="1:3" ht="13">
      <c r="A1" s="689" t="s">
        <v>0</v>
      </c>
      <c r="C1" s="690"/>
    </row>
    <row r="2" spans="1:8" ht="12.75" customHeight="1">
      <c r="A2" s="691" t="str">
        <f>medição!A2</f>
        <v>PREFEITURA MUNICIPAL DE TERRA SANTA</v>
      </c>
      <c r="B2" s="691"/>
      <c r="C2" s="691"/>
      <c r="D2" s="691"/>
      <c r="E2" s="691"/>
      <c r="F2" s="691"/>
      <c r="G2" s="691"/>
      <c r="H2" s="691"/>
    </row>
    <row r="3" spans="1:8" ht="13">
      <c r="A3" s="689" t="str">
        <f>medição!A3</f>
        <v>OBRA: CONSTRUÇÃO DA UBS - CONQUISTA</v>
      </c>
      <c r="B3" s="689"/>
      <c r="C3" s="689"/>
      <c r="D3" s="689"/>
      <c r="E3" s="689"/>
      <c r="F3" s="689"/>
      <c r="G3" s="689"/>
      <c r="H3" s="689"/>
    </row>
    <row r="4" spans="1:8" ht="13">
      <c r="A4" s="689" t="s">
        <v>946</v>
      </c>
      <c r="B4" s="689"/>
      <c r="C4" s="692"/>
      <c r="D4" s="693"/>
      <c r="E4" s="693"/>
      <c r="F4" s="693"/>
      <c r="G4" s="693"/>
      <c r="H4" s="693"/>
    </row>
    <row r="5" spans="1:8" ht="13">
      <c r="A5" s="693"/>
      <c r="B5" s="693"/>
      <c r="C5" s="692"/>
      <c r="D5" s="693"/>
      <c r="E5" s="693"/>
      <c r="F5" s="693"/>
      <c r="G5" s="693"/>
      <c r="H5" s="693"/>
    </row>
    <row r="6" spans="1:8" ht="13">
      <c r="A6" s="694" t="s">
        <v>947</v>
      </c>
      <c r="B6" s="694"/>
      <c r="C6" s="694"/>
      <c r="D6" s="694"/>
      <c r="E6" s="694"/>
      <c r="F6" s="694"/>
      <c r="G6" s="694"/>
      <c r="H6" s="694"/>
    </row>
    <row r="7" spans="1:8" ht="13">
      <c r="A7" s="695"/>
      <c r="B7" s="696"/>
      <c r="C7" s="696"/>
      <c r="D7" s="696"/>
      <c r="E7" s="696"/>
      <c r="F7" s="696"/>
      <c r="G7" s="696"/>
      <c r="H7" s="696"/>
    </row>
    <row r="8" spans="1:12" ht="13">
      <c r="A8" s="697" t="s">
        <v>9</v>
      </c>
      <c r="B8" s="698" t="s">
        <v>948</v>
      </c>
      <c r="C8" s="699" t="s">
        <v>14</v>
      </c>
      <c r="D8" s="700" t="s">
        <v>321</v>
      </c>
      <c r="E8" s="701"/>
      <c r="F8" s="701"/>
      <c r="G8" s="701"/>
      <c r="H8" s="701"/>
      <c r="I8" s="701"/>
      <c r="J8" s="701"/>
      <c r="K8" s="701"/>
      <c r="L8" s="364" t="s">
        <v>322</v>
      </c>
    </row>
    <row r="9" spans="1:12" ht="13">
      <c r="A9" s="702"/>
      <c r="B9" s="698"/>
      <c r="C9" s="699"/>
      <c r="D9" s="703">
        <v>30</v>
      </c>
      <c r="E9" s="703">
        <v>60</v>
      </c>
      <c r="F9" s="703">
        <v>90</v>
      </c>
      <c r="G9" s="703">
        <v>120</v>
      </c>
      <c r="H9" s="703">
        <v>150</v>
      </c>
      <c r="I9" s="703">
        <v>180</v>
      </c>
      <c r="J9" s="703">
        <v>210</v>
      </c>
      <c r="K9" s="703">
        <v>240</v>
      </c>
      <c r="L9" s="364"/>
    </row>
    <row r="10" spans="1:12" ht="13.5" thickBot="1">
      <c r="A10" s="704" t="s">
        <v>20</v>
      </c>
      <c r="B10" s="705" t="s">
        <v>21</v>
      </c>
      <c r="C10" s="706">
        <f>medição!F13</f>
        <v>66039.240000000005</v>
      </c>
      <c r="D10" s="707">
        <v>1</v>
      </c>
      <c r="E10" s="708"/>
      <c r="F10" s="708"/>
      <c r="G10" s="708"/>
      <c r="L10" s="709">
        <f>C10/$C$46</f>
        <v>0.074700000000000003</v>
      </c>
    </row>
    <row r="11" spans="1:12" ht="13">
      <c r="A11" s="710"/>
      <c r="B11" s="705"/>
      <c r="C11" s="706"/>
      <c r="D11" s="711">
        <f>D10*$C10</f>
        <v>66039.240000000005</v>
      </c>
      <c r="E11" s="712"/>
      <c r="F11" s="712"/>
      <c r="G11" s="712"/>
      <c r="L11" s="709"/>
    </row>
    <row r="12" spans="1:15" ht="13.5" thickBot="1">
      <c r="A12" s="704" t="s">
        <v>30</v>
      </c>
      <c r="B12" s="713" t="s">
        <v>31</v>
      </c>
      <c r="C12" s="714">
        <f>medição!F20</f>
        <v>13970.68</v>
      </c>
      <c r="D12" s="715">
        <v>0.50</v>
      </c>
      <c r="E12" s="712"/>
      <c r="F12" s="712"/>
      <c r="G12" s="712"/>
      <c r="K12" s="716">
        <v>0.50</v>
      </c>
      <c r="L12" s="709">
        <f t="shared" si="0" ref="L12">C12/$C$46</f>
        <v>0.015800000000000002</v>
      </c>
      <c r="O12" s="717"/>
    </row>
    <row r="13" spans="1:15" ht="13">
      <c r="A13" s="710"/>
      <c r="B13" s="718"/>
      <c r="C13" s="719"/>
      <c r="D13" s="711">
        <f>D12*$C12</f>
        <v>6985.34</v>
      </c>
      <c r="E13" s="712"/>
      <c r="F13" s="712"/>
      <c r="G13" s="712"/>
      <c r="K13" s="720">
        <f>K12*$C12</f>
        <v>6985.34</v>
      </c>
      <c r="L13" s="709"/>
      <c r="O13" s="721"/>
    </row>
    <row r="14" spans="1:12" ht="13.5" thickBot="1">
      <c r="A14" s="704" t="s">
        <v>37</v>
      </c>
      <c r="B14" s="722" t="s">
        <v>38</v>
      </c>
      <c r="C14" s="714">
        <f>medição!F24</f>
        <v>71701</v>
      </c>
      <c r="D14" s="715">
        <v>0.097199999999999995</v>
      </c>
      <c r="E14" s="723">
        <v>0.036400000000000002</v>
      </c>
      <c r="F14" s="723">
        <v>0.050900000000000001</v>
      </c>
      <c r="G14" s="723">
        <v>0.068400000000000002</v>
      </c>
      <c r="H14" s="723">
        <v>0.21229999999999999</v>
      </c>
      <c r="I14" s="723">
        <v>0.32069999999999999</v>
      </c>
      <c r="J14" s="723">
        <v>0.16039999999999999</v>
      </c>
      <c r="K14" s="723">
        <v>0.053699999999999998</v>
      </c>
      <c r="L14" s="709">
        <f t="shared" si="1" ref="L14">C14/$C$46</f>
        <v>0.081100000000000005</v>
      </c>
    </row>
    <row r="15" spans="1:12" ht="13">
      <c r="A15" s="710"/>
      <c r="B15" s="724"/>
      <c r="C15" s="719"/>
      <c r="D15" s="711">
        <f t="shared" si="2" ref="D15:K15">D14*$C14</f>
        <v>6969.34</v>
      </c>
      <c r="E15" s="725">
        <f t="shared" si="2"/>
        <v>2609.92</v>
      </c>
      <c r="F15" s="725">
        <f t="shared" si="2"/>
        <v>3649.58</v>
      </c>
      <c r="G15" s="725">
        <f t="shared" si="2"/>
        <v>4904.3500000000004</v>
      </c>
      <c r="H15" s="725">
        <f t="shared" si="2"/>
        <v>15222.12</v>
      </c>
      <c r="I15" s="725">
        <f t="shared" si="2"/>
        <v>22994.51</v>
      </c>
      <c r="J15" s="725">
        <f t="shared" si="2"/>
        <v>11500.84</v>
      </c>
      <c r="K15" s="725">
        <f t="shared" si="2"/>
        <v>3850.34</v>
      </c>
      <c r="L15" s="709"/>
    </row>
    <row r="16" spans="1:12" ht="13.5" thickBot="1">
      <c r="A16" s="704" t="s">
        <v>41</v>
      </c>
      <c r="B16" s="726" t="s">
        <v>500</v>
      </c>
      <c r="C16" s="706">
        <f>medição!F27</f>
        <v>9720.43</v>
      </c>
      <c r="D16" s="715">
        <v>0.40</v>
      </c>
      <c r="E16" s="723">
        <v>0.60</v>
      </c>
      <c r="F16" s="727"/>
      <c r="G16" s="727"/>
      <c r="L16" s="709">
        <f t="shared" si="3" ref="L16">C16/$C$46</f>
        <v>0.010999999999999999</v>
      </c>
    </row>
    <row r="17" spans="1:12" ht="13">
      <c r="A17" s="710"/>
      <c r="B17" s="726"/>
      <c r="C17" s="706"/>
      <c r="D17" s="711">
        <f>D16*$C16</f>
        <v>3888.17</v>
      </c>
      <c r="E17" s="725">
        <f>E16*$C16</f>
        <v>5832.26</v>
      </c>
      <c r="F17" s="712"/>
      <c r="G17" s="712"/>
      <c r="L17" s="709"/>
    </row>
    <row r="18" spans="1:12" ht="13.5" thickBot="1">
      <c r="A18" s="704" t="s">
        <v>505</v>
      </c>
      <c r="B18" s="728" t="s">
        <v>506</v>
      </c>
      <c r="C18" s="706">
        <f>medição!F33</f>
        <v>42112.91</v>
      </c>
      <c r="D18" s="729"/>
      <c r="E18" s="723">
        <v>0.30</v>
      </c>
      <c r="F18" s="723">
        <v>0.70</v>
      </c>
      <c r="G18" s="727"/>
      <c r="L18" s="709">
        <f t="shared" si="4" ref="L18">C18/$C$46</f>
        <v>0.047600000000000003</v>
      </c>
    </row>
    <row r="19" spans="1:12" ht="13">
      <c r="A19" s="710"/>
      <c r="B19" s="728"/>
      <c r="C19" s="706"/>
      <c r="D19" s="730"/>
      <c r="E19" s="725">
        <f>E18*$C18</f>
        <v>12633.87</v>
      </c>
      <c r="F19" s="725">
        <f>F18*$C18</f>
        <v>29479.04</v>
      </c>
      <c r="G19" s="712"/>
      <c r="L19" s="709"/>
    </row>
    <row r="20" spans="1:12" ht="13.5" thickBot="1">
      <c r="A20" s="704" t="s">
        <v>511</v>
      </c>
      <c r="B20" s="728" t="s">
        <v>512</v>
      </c>
      <c r="C20" s="706">
        <f>medição!F37</f>
        <v>24832.86</v>
      </c>
      <c r="D20" s="729"/>
      <c r="E20" s="727"/>
      <c r="F20" s="723">
        <v>0.40</v>
      </c>
      <c r="G20" s="723">
        <v>0.30</v>
      </c>
      <c r="H20" s="723">
        <v>0.30</v>
      </c>
      <c r="L20" s="709">
        <f t="shared" si="5" ref="L20">C20/$C$46</f>
        <v>0.0281</v>
      </c>
    </row>
    <row r="21" spans="1:12" ht="13">
      <c r="A21" s="710"/>
      <c r="B21" s="728"/>
      <c r="C21" s="706"/>
      <c r="D21" s="730"/>
      <c r="E21" s="712"/>
      <c r="F21" s="725">
        <f>F20*$C20</f>
        <v>9933.14</v>
      </c>
      <c r="G21" s="725">
        <f>G20*$C20</f>
        <v>7449.86</v>
      </c>
      <c r="H21" s="725">
        <f>H20*$C20</f>
        <v>7449.86</v>
      </c>
      <c r="L21" s="709"/>
    </row>
    <row r="22" spans="1:12" ht="13.5" thickBot="1">
      <c r="A22" s="704" t="s">
        <v>516</v>
      </c>
      <c r="B22" s="728" t="s">
        <v>517</v>
      </c>
      <c r="C22" s="650">
        <f>medição!F41</f>
        <v>12173.69</v>
      </c>
      <c r="D22" s="729"/>
      <c r="E22" s="727"/>
      <c r="F22" s="727"/>
      <c r="G22" s="731"/>
      <c r="H22" s="723">
        <v>1</v>
      </c>
      <c r="L22" s="709">
        <f t="shared" si="6" ref="L22">C22/$C$46</f>
        <v>0.0138</v>
      </c>
    </row>
    <row r="23" spans="1:12" ht="13">
      <c r="A23" s="710"/>
      <c r="B23" s="728"/>
      <c r="C23" s="650"/>
      <c r="D23" s="730"/>
      <c r="E23" s="712"/>
      <c r="F23" s="712"/>
      <c r="G23" s="732"/>
      <c r="H23" s="725">
        <f>H22*$C22</f>
        <v>12173.69</v>
      </c>
      <c r="L23" s="709"/>
    </row>
    <row r="24" spans="1:12" ht="13.5" thickBot="1">
      <c r="A24" s="704" t="s">
        <v>520</v>
      </c>
      <c r="B24" s="728" t="s">
        <v>521</v>
      </c>
      <c r="C24" s="706">
        <f>medição!F44</f>
        <v>148770.96</v>
      </c>
      <c r="D24" s="729"/>
      <c r="E24" s="727"/>
      <c r="F24" s="727"/>
      <c r="G24" s="723">
        <v>0.30</v>
      </c>
      <c r="H24" s="723">
        <v>0.30</v>
      </c>
      <c r="I24" s="723">
        <v>0.40</v>
      </c>
      <c r="L24" s="709">
        <f t="shared" si="7" ref="L24">C24/$C$46</f>
        <v>0.16830000000000001</v>
      </c>
    </row>
    <row r="25" spans="1:12" ht="13">
      <c r="A25" s="710"/>
      <c r="B25" s="728"/>
      <c r="C25" s="706"/>
      <c r="D25" s="730"/>
      <c r="E25" s="712"/>
      <c r="F25" s="712"/>
      <c r="G25" s="725">
        <f>G24*$C24</f>
        <v>44631.29</v>
      </c>
      <c r="H25" s="725">
        <f>H24*$C24</f>
        <v>44631.29</v>
      </c>
      <c r="I25" s="725">
        <f>I24*$C24</f>
        <v>59508.38</v>
      </c>
      <c r="L25" s="709"/>
    </row>
    <row r="26" spans="1:12" ht="13.5" thickBot="1">
      <c r="A26" s="704" t="s">
        <v>532</v>
      </c>
      <c r="B26" s="726" t="s">
        <v>533</v>
      </c>
      <c r="C26" s="706">
        <f>medição!F51</f>
        <v>52708.44</v>
      </c>
      <c r="D26" s="729"/>
      <c r="E26" s="727"/>
      <c r="F26" s="727"/>
      <c r="G26" s="733"/>
      <c r="I26" s="723">
        <v>0.40</v>
      </c>
      <c r="J26" s="723">
        <v>0.60</v>
      </c>
      <c r="L26" s="709">
        <f t="shared" si="8" ref="L26">C26/$C$46</f>
        <v>0.0596</v>
      </c>
    </row>
    <row r="27" spans="1:12" ht="13">
      <c r="A27" s="710"/>
      <c r="B27" s="726"/>
      <c r="C27" s="706"/>
      <c r="D27" s="712"/>
      <c r="E27" s="712"/>
      <c r="F27" s="712"/>
      <c r="I27" s="725">
        <f>I26*$C26</f>
        <v>21083.38</v>
      </c>
      <c r="J27" s="725">
        <f>J26*$C26</f>
        <v>31625.06</v>
      </c>
      <c r="L27" s="709"/>
    </row>
    <row r="28" spans="1:12" ht="13.5" thickBot="1">
      <c r="A28" s="704" t="s">
        <v>555</v>
      </c>
      <c r="B28" s="722" t="s">
        <v>556</v>
      </c>
      <c r="C28" s="714">
        <f>medição!F64</f>
        <v>126417.52</v>
      </c>
      <c r="D28" s="729"/>
      <c r="E28" s="727"/>
      <c r="F28" s="727"/>
      <c r="G28" s="727"/>
      <c r="H28" s="723">
        <v>0.45</v>
      </c>
      <c r="I28" s="723">
        <v>0.45</v>
      </c>
      <c r="J28" s="723">
        <v>0.10</v>
      </c>
      <c r="L28" s="709">
        <f t="shared" si="9" ref="L28">C28/$C$46</f>
        <v>0.14299999999999999</v>
      </c>
    </row>
    <row r="29" spans="1:12" ht="13">
      <c r="A29" s="710"/>
      <c r="B29" s="724"/>
      <c r="C29" s="719"/>
      <c r="D29" s="730"/>
      <c r="E29" s="712"/>
      <c r="F29" s="712"/>
      <c r="G29" s="712"/>
      <c r="H29" s="725">
        <f>H28*$C28</f>
        <v>56887.88</v>
      </c>
      <c r="I29" s="725">
        <f>I28*$C28</f>
        <v>56887.88</v>
      </c>
      <c r="J29" s="725">
        <f>J28*$C28</f>
        <v>12641.75</v>
      </c>
      <c r="L29" s="709"/>
    </row>
    <row r="30" spans="1:12" ht="13.5" thickBot="1">
      <c r="A30" s="704" t="s">
        <v>573</v>
      </c>
      <c r="B30" s="726" t="s">
        <v>574</v>
      </c>
      <c r="C30" s="734">
        <f>medição!F74</f>
        <v>140348.29999999999</v>
      </c>
      <c r="D30" s="729"/>
      <c r="E30" s="727"/>
      <c r="F30" s="727"/>
      <c r="G30" s="727"/>
      <c r="H30" s="723">
        <v>0.15</v>
      </c>
      <c r="I30" s="723">
        <v>0.4075</v>
      </c>
      <c r="J30" s="723">
        <v>0.4425</v>
      </c>
      <c r="L30" s="709">
        <f t="shared" si="10" ref="L30">C30/$C$46</f>
        <v>0.1588</v>
      </c>
    </row>
    <row r="31" spans="1:12" ht="13">
      <c r="A31" s="710"/>
      <c r="B31" s="726"/>
      <c r="C31" s="734"/>
      <c r="D31" s="730"/>
      <c r="E31" s="712"/>
      <c r="F31" s="712"/>
      <c r="G31" s="712"/>
      <c r="H31" s="725">
        <f>H30*$C30</f>
        <v>21052.25</v>
      </c>
      <c r="I31" s="725">
        <f>I30*$C30</f>
        <v>57191.93</v>
      </c>
      <c r="J31" s="725">
        <f>J30*$C30</f>
        <v>62104.12</v>
      </c>
      <c r="L31" s="709"/>
    </row>
    <row r="32" spans="1:12" ht="13.5" thickBot="1">
      <c r="A32" s="704" t="s">
        <v>587</v>
      </c>
      <c r="B32" s="726" t="s">
        <v>588</v>
      </c>
      <c r="C32" s="734">
        <f>medição!F82</f>
        <v>38564.51</v>
      </c>
      <c r="D32" s="730"/>
      <c r="E32" s="712"/>
      <c r="F32" s="727"/>
      <c r="G32" s="723">
        <v>0.10</v>
      </c>
      <c r="H32" s="723">
        <v>0.45</v>
      </c>
      <c r="I32" s="723">
        <v>0.45</v>
      </c>
      <c r="L32" s="709">
        <f t="shared" si="11" ref="L32">C32/$C$46</f>
        <v>0.0436</v>
      </c>
    </row>
    <row r="33" spans="1:12" ht="13">
      <c r="A33" s="710"/>
      <c r="B33" s="726"/>
      <c r="C33" s="734"/>
      <c r="D33" s="730"/>
      <c r="E33" s="712"/>
      <c r="F33" s="712"/>
      <c r="G33" s="725">
        <f>G32*$C32</f>
        <v>3856.45</v>
      </c>
      <c r="H33" s="725">
        <f>H32*$C32</f>
        <v>17354.03</v>
      </c>
      <c r="I33" s="725">
        <f>I32*$C32</f>
        <v>17354.03</v>
      </c>
      <c r="L33" s="709"/>
    </row>
    <row r="34" spans="1:12" ht="13.5" thickBot="1">
      <c r="A34" s="704" t="s">
        <v>633</v>
      </c>
      <c r="B34" s="726" t="s">
        <v>634</v>
      </c>
      <c r="C34" s="650">
        <f>medição!F105</f>
        <v>32584.31</v>
      </c>
      <c r="D34" s="729"/>
      <c r="E34" s="723">
        <v>0.30</v>
      </c>
      <c r="F34" s="727"/>
      <c r="G34" s="727"/>
      <c r="H34" s="723">
        <v>0.3475</v>
      </c>
      <c r="I34" s="723">
        <v>0.3525</v>
      </c>
      <c r="L34" s="709">
        <f t="shared" si="12" ref="L34">C34/$C$46</f>
        <v>0.036900000000000002</v>
      </c>
    </row>
    <row r="35" spans="1:12" ht="13">
      <c r="A35" s="710"/>
      <c r="B35" s="726"/>
      <c r="C35" s="650"/>
      <c r="D35" s="730"/>
      <c r="E35" s="725">
        <f>E34*$C34</f>
        <v>9775.2900000000009</v>
      </c>
      <c r="F35" s="712"/>
      <c r="G35" s="712"/>
      <c r="H35" s="725">
        <f>H34*$C34</f>
        <v>11323.05</v>
      </c>
      <c r="I35" s="725">
        <f>I34*$C34</f>
        <v>11485.97</v>
      </c>
      <c r="L35" s="709"/>
    </row>
    <row r="36" spans="1:12" ht="13.5" thickBot="1">
      <c r="A36" s="704" t="s">
        <v>679</v>
      </c>
      <c r="B36" s="726" t="s">
        <v>680</v>
      </c>
      <c r="C36" s="734">
        <f>medição!F129</f>
        <v>29849.17</v>
      </c>
      <c r="D36" s="729"/>
      <c r="E36" s="727"/>
      <c r="F36" s="727"/>
      <c r="G36" s="727"/>
      <c r="I36" s="723">
        <v>1</v>
      </c>
      <c r="L36" s="709">
        <f t="shared" si="13" ref="L36">C36/$C$46</f>
        <v>0.033799999999999997</v>
      </c>
    </row>
    <row r="37" spans="1:12" ht="13">
      <c r="A37" s="710"/>
      <c r="B37" s="726"/>
      <c r="C37" s="734"/>
      <c r="D37" s="730"/>
      <c r="E37" s="712"/>
      <c r="F37" s="712"/>
      <c r="G37" s="712"/>
      <c r="I37" s="725">
        <f>I36*$C36</f>
        <v>29849.17</v>
      </c>
      <c r="L37" s="709"/>
    </row>
    <row r="38" spans="1:12" ht="13.5" thickBot="1">
      <c r="A38" s="704" t="s">
        <v>705</v>
      </c>
      <c r="B38" s="728" t="s">
        <v>706</v>
      </c>
      <c r="C38" s="650">
        <f>medição!F143</f>
        <v>7500.04</v>
      </c>
      <c r="F38" s="727"/>
      <c r="G38" s="727"/>
      <c r="K38" s="723">
        <v>1</v>
      </c>
      <c r="L38" s="709">
        <f t="shared" si="14" ref="L38">C38/$C$46</f>
        <v>0.0085000000000000006</v>
      </c>
    </row>
    <row r="39" spans="1:12" ht="13">
      <c r="A39" s="710"/>
      <c r="B39" s="728"/>
      <c r="C39" s="650"/>
      <c r="F39" s="712"/>
      <c r="G39" s="712"/>
      <c r="K39" s="725">
        <f>K38*$C38</f>
        <v>7500.04</v>
      </c>
      <c r="L39" s="709"/>
    </row>
    <row r="40" spans="1:12" ht="13.5" thickBot="1">
      <c r="A40" s="704" t="s">
        <v>713</v>
      </c>
      <c r="B40" s="728" t="s">
        <v>714</v>
      </c>
      <c r="C40" s="706">
        <f>medição!F148</f>
        <v>1431.61</v>
      </c>
      <c r="D40" s="729"/>
      <c r="E40" s="727"/>
      <c r="F40" s="727"/>
      <c r="G40" s="727"/>
      <c r="K40" s="723">
        <v>1</v>
      </c>
      <c r="L40" s="709">
        <f t="shared" si="15" ref="L40">C40/$C$46</f>
        <v>0.0016000000000000001</v>
      </c>
    </row>
    <row r="41" spans="1:12" ht="13">
      <c r="A41" s="710"/>
      <c r="B41" s="728"/>
      <c r="C41" s="706"/>
      <c r="D41" s="730"/>
      <c r="E41" s="712"/>
      <c r="F41" s="712"/>
      <c r="G41" s="712"/>
      <c r="K41" s="725">
        <f>K40*$C40</f>
        <v>1431.61</v>
      </c>
      <c r="L41" s="709"/>
    </row>
    <row r="42" spans="1:12" ht="13.5" thickBot="1">
      <c r="A42" s="704" t="s">
        <v>719</v>
      </c>
      <c r="B42" s="735" t="s">
        <v>720</v>
      </c>
      <c r="C42" s="736">
        <f>medição!F152</f>
        <v>59882.01</v>
      </c>
      <c r="D42" s="729"/>
      <c r="E42" s="712"/>
      <c r="F42" s="712"/>
      <c r="G42" s="727"/>
      <c r="I42" s="723">
        <v>0.10</v>
      </c>
      <c r="J42" s="723">
        <v>0.45</v>
      </c>
      <c r="K42" s="723">
        <v>0.45</v>
      </c>
      <c r="L42" s="709">
        <f t="shared" si="16" ref="L42">C42/$C$46</f>
        <v>0.067699999999999996</v>
      </c>
    </row>
    <row r="43" spans="1:12" ht="13">
      <c r="A43" s="710"/>
      <c r="B43" s="737"/>
      <c r="C43" s="738"/>
      <c r="D43" s="730"/>
      <c r="E43" s="712"/>
      <c r="F43" s="712"/>
      <c r="G43" s="712"/>
      <c r="I43" s="725">
        <f>I42*$C42</f>
        <v>5988.20</v>
      </c>
      <c r="J43" s="725">
        <f>J42*$C42</f>
        <v>26946.90</v>
      </c>
      <c r="K43" s="725">
        <f>K42*$C42</f>
        <v>26946.90</v>
      </c>
      <c r="L43" s="709"/>
    </row>
    <row r="44" spans="1:12" ht="13.5" thickBot="1">
      <c r="A44" s="704" t="s">
        <v>730</v>
      </c>
      <c r="B44" s="722" t="s">
        <v>731</v>
      </c>
      <c r="C44" s="739">
        <f>medição!F159</f>
        <v>5457.61</v>
      </c>
      <c r="D44" s="740"/>
      <c r="E44" s="731"/>
      <c r="F44" s="727"/>
      <c r="G44" s="727"/>
      <c r="K44" s="723">
        <v>1</v>
      </c>
      <c r="L44" s="709">
        <f t="shared" si="17" ref="L44">C44/$C$46</f>
        <v>0.0061999999999999998</v>
      </c>
    </row>
    <row r="45" spans="1:12" ht="13">
      <c r="A45" s="710"/>
      <c r="B45" s="724"/>
      <c r="C45" s="741"/>
      <c r="D45" s="742"/>
      <c r="E45" s="732"/>
      <c r="F45" s="712"/>
      <c r="G45" s="712"/>
      <c r="K45" s="725">
        <f>K44*$C44</f>
        <v>5457.61</v>
      </c>
      <c r="L45" s="709"/>
    </row>
    <row r="46" spans="1:13" ht="13">
      <c r="A46" s="743" t="s">
        <v>949</v>
      </c>
      <c r="B46" s="743"/>
      <c r="C46" s="744">
        <f>SUM(C10:C45)</f>
        <v>884065.29</v>
      </c>
      <c r="D46" s="650">
        <f>SUM(D15,D17,D19,D21,D23,D25,D27,D29,D31,D33,D35,D37,D39,D41,D43,D45,D13,D11)</f>
        <v>83882.09</v>
      </c>
      <c r="E46" s="650">
        <f>SUM(E15,E19,E21,E23,E25,E27,E29,E31,E33,E35,E37,E39,E41,E43,E45,E13,E11,E17)</f>
        <v>30851.34</v>
      </c>
      <c r="F46" s="650">
        <f t="shared" si="18" ref="F46:K46">SUM(F15,F19,F21,F23,F25,F27,F29,F31,F33,F35,F37,F39,F41,F43,F45,F13,F11,F17)</f>
        <v>43061.76</v>
      </c>
      <c r="G46" s="650">
        <f t="shared" si="18"/>
        <v>60841.95</v>
      </c>
      <c r="H46" s="650">
        <f t="shared" si="18"/>
        <v>186094.17</v>
      </c>
      <c r="I46" s="650">
        <f t="shared" si="18"/>
        <v>282343.45</v>
      </c>
      <c r="J46" s="650">
        <f t="shared" si="18"/>
        <v>144818.67000000001</v>
      </c>
      <c r="K46" s="650">
        <f t="shared" si="18"/>
        <v>52171.84</v>
      </c>
      <c r="L46" s="745">
        <f>SUM(L10:L45)</f>
        <v>1</v>
      </c>
      <c r="M46" s="733"/>
    </row>
    <row r="47" spans="1:13" ht="13">
      <c r="A47" s="743" t="s">
        <v>950</v>
      </c>
      <c r="B47" s="743"/>
      <c r="C47" s="744"/>
      <c r="D47" s="709">
        <f>D46/$C$46</f>
        <v>0.094899999999999998</v>
      </c>
      <c r="E47" s="709">
        <f t="shared" si="19" ref="E47:K47">E46/$C$46</f>
        <v>0.0349</v>
      </c>
      <c r="F47" s="709">
        <f t="shared" si="19"/>
        <v>0.0487</v>
      </c>
      <c r="G47" s="709">
        <f t="shared" si="19"/>
        <v>0.0688</v>
      </c>
      <c r="H47" s="709">
        <f t="shared" si="19"/>
        <v>0.21049999999999999</v>
      </c>
      <c r="I47" s="709">
        <f t="shared" si="19"/>
        <v>0.31940000000000002</v>
      </c>
      <c r="J47" s="709">
        <f t="shared" si="19"/>
        <v>0.1638</v>
      </c>
      <c r="K47" s="709">
        <f t="shared" si="19"/>
        <v>0.058999999999999997</v>
      </c>
      <c r="L47" s="746"/>
      <c r="M47" s="747"/>
    </row>
    <row r="48" spans="1:13" ht="13">
      <c r="A48" s="743" t="s">
        <v>951</v>
      </c>
      <c r="B48" s="743"/>
      <c r="C48" s="744"/>
      <c r="D48" s="748">
        <f>D46</f>
        <v>83882.09</v>
      </c>
      <c r="E48" s="748">
        <f>D48+E46</f>
        <v>114733.43</v>
      </c>
      <c r="F48" s="748">
        <f t="shared" si="20" ref="F48:J49">E48+F46</f>
        <v>157795.19</v>
      </c>
      <c r="G48" s="748">
        <f t="shared" si="20"/>
        <v>218637.14</v>
      </c>
      <c r="H48" s="748">
        <f t="shared" si="20"/>
        <v>404731.31</v>
      </c>
      <c r="I48" s="748">
        <f t="shared" si="20"/>
        <v>687074.76</v>
      </c>
      <c r="J48" s="748">
        <f t="shared" si="20"/>
        <v>831893.43</v>
      </c>
      <c r="K48" s="749">
        <f>J48+K46</f>
        <v>884065.27</v>
      </c>
      <c r="L48" s="750"/>
      <c r="M48" s="717"/>
    </row>
    <row r="49" spans="1:12" ht="13">
      <c r="A49" s="743" t="s">
        <v>952</v>
      </c>
      <c r="B49" s="743"/>
      <c r="C49" s="744"/>
      <c r="D49" s="751">
        <f>D47</f>
        <v>0.094899999999999998</v>
      </c>
      <c r="E49" s="752">
        <f>D49+E47</f>
        <v>0.1298</v>
      </c>
      <c r="F49" s="752">
        <f t="shared" si="20"/>
        <v>0.17849999999999999</v>
      </c>
      <c r="G49" s="752">
        <f t="shared" si="20"/>
        <v>0.24729999999999999</v>
      </c>
      <c r="H49" s="752">
        <f t="shared" si="20"/>
        <v>0.45779999999999998</v>
      </c>
      <c r="I49" s="752">
        <f t="shared" si="20"/>
        <v>0.7772</v>
      </c>
      <c r="J49" s="752">
        <f t="shared" si="20"/>
        <v>0.94099999999999995</v>
      </c>
      <c r="K49" s="753">
        <f>J49+K47</f>
        <v>1</v>
      </c>
      <c r="L49" s="750"/>
    </row>
    <row r="50" spans="1:1" ht="13">
      <c r="A50" s="754"/>
    </row>
    <row r="51" spans="1:7" ht="13">
      <c r="A51" s="754"/>
      <c r="D51" s="747"/>
      <c r="E51" s="747"/>
      <c r="F51" s="747"/>
      <c r="G51" s="747"/>
    </row>
    <row r="52" spans="1:1" ht="13">
      <c r="A52" s="754"/>
    </row>
    <row r="53" spans="1:1" ht="13">
      <c r="A53" s="754"/>
    </row>
    <row r="54" spans="1:7" ht="13">
      <c r="A54" s="755"/>
      <c r="G54" s="717"/>
    </row>
    <row r="55" spans="1:1" ht="13">
      <c r="A55" s="636" t="s">
        <v>206</v>
      </c>
    </row>
    <row r="56" spans="1:1" ht="13">
      <c r="A56" s="636" t="s">
        <v>899</v>
      </c>
    </row>
  </sheetData>
  <mergeCells count="82">
    <mergeCell ref="L8:L9"/>
    <mergeCell ref="C14:C15"/>
    <mergeCell ref="L14:L15"/>
    <mergeCell ref="A14:A15"/>
    <mergeCell ref="L10:L11"/>
    <mergeCell ref="C8:C9"/>
    <mergeCell ref="A8:A9"/>
    <mergeCell ref="A12:A13"/>
    <mergeCell ref="A10:A11"/>
    <mergeCell ref="B12:B13"/>
    <mergeCell ref="L12:L13"/>
    <mergeCell ref="A6:H6"/>
    <mergeCell ref="B8:B9"/>
    <mergeCell ref="B10:B11"/>
    <mergeCell ref="C10:C11"/>
    <mergeCell ref="C18:C19"/>
    <mergeCell ref="D8:K8"/>
    <mergeCell ref="C12:C13"/>
    <mergeCell ref="B14:B15"/>
    <mergeCell ref="A16:A17"/>
    <mergeCell ref="B16:B17"/>
    <mergeCell ref="A18:A19"/>
    <mergeCell ref="C16:C17"/>
    <mergeCell ref="L32:L33"/>
    <mergeCell ref="C38:C39"/>
    <mergeCell ref="A38:A39"/>
    <mergeCell ref="C32:C33"/>
    <mergeCell ref="B32:B33"/>
    <mergeCell ref="A26:A27"/>
    <mergeCell ref="A22:A23"/>
    <mergeCell ref="A24:A25"/>
    <mergeCell ref="A28:A29"/>
    <mergeCell ref="A20:A21"/>
    <mergeCell ref="L20:L21"/>
    <mergeCell ref="B24:B25"/>
    <mergeCell ref="C24:C25"/>
    <mergeCell ref="L16:L17"/>
    <mergeCell ref="L18:L19"/>
    <mergeCell ref="B18:B19"/>
    <mergeCell ref="C20:C21"/>
    <mergeCell ref="B20:B21"/>
    <mergeCell ref="B22:B23"/>
    <mergeCell ref="C22:C23"/>
    <mergeCell ref="A49:B49"/>
    <mergeCell ref="L36:L37"/>
    <mergeCell ref="L38:L39"/>
    <mergeCell ref="L34:L35"/>
    <mergeCell ref="L22:L23"/>
    <mergeCell ref="L24:L25"/>
    <mergeCell ref="A30:A31"/>
    <mergeCell ref="C36:C37"/>
    <mergeCell ref="B38:B39"/>
    <mergeCell ref="A32:A33"/>
    <mergeCell ref="C34:C35"/>
    <mergeCell ref="B30:B31"/>
    <mergeCell ref="B26:B27"/>
    <mergeCell ref="A34:A35"/>
    <mergeCell ref="B34:B35"/>
    <mergeCell ref="B28:B29"/>
    <mergeCell ref="A48:B48"/>
    <mergeCell ref="A46:B46"/>
    <mergeCell ref="A47:B47"/>
    <mergeCell ref="A36:A37"/>
    <mergeCell ref="B36:B37"/>
    <mergeCell ref="A44:A45"/>
    <mergeCell ref="B40:B41"/>
    <mergeCell ref="L44:L45"/>
    <mergeCell ref="B44:B45"/>
    <mergeCell ref="A40:A41"/>
    <mergeCell ref="A42:A43"/>
    <mergeCell ref="B42:B43"/>
    <mergeCell ref="L42:L43"/>
    <mergeCell ref="L40:L41"/>
    <mergeCell ref="C40:C41"/>
    <mergeCell ref="C44:C45"/>
    <mergeCell ref="C42:C43"/>
    <mergeCell ref="L30:L31"/>
    <mergeCell ref="L28:L29"/>
    <mergeCell ref="C26:C27"/>
    <mergeCell ref="C28:C29"/>
    <mergeCell ref="C30:C31"/>
    <mergeCell ref="L26:L27"/>
  </mergeCells>
  <printOptions horizontalCentered="1"/>
  <pageMargins left="0.25" right="0.25" top="0.75" bottom="0.75" header="0.3" footer="0.3"/>
  <pageSetup horizontalDpi="360" verticalDpi="360" orientation="landscape" paperSize="9" scale="64" r:id="rId2"/>
  <headerFooter alignWithMargins="0">
    <oddFooter>&amp;CPágina &amp;P de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2b0fd5f-c365-489b-84fd-5a25633c538d}">
  <sheetPr>
    <pageSetUpPr fitToPage="1"/>
  </sheetPr>
  <dimension ref="A1:C42"/>
  <sheetViews>
    <sheetView showGridLines="0" view="pageBreakPreview" zoomScaleNormal="100" zoomScaleSheetLayoutView="100" workbookViewId="0" topLeftCell="A1">
      <selection pane="topLeft" activeCell="B7" sqref="B7"/>
    </sheetView>
  </sheetViews>
  <sheetFormatPr defaultColWidth="9.184285714285714" defaultRowHeight="13" customHeight="1"/>
  <cols>
    <col min="1" max="1" width="9.142857142857142" style="773"/>
    <col min="2" max="2" width="26.857142857142858" style="773" customWidth="1"/>
    <col min="3" max="3" width="25.714285714285715" style="773" customWidth="1"/>
    <col min="4" max="16384" width="9.142857142857142" style="773"/>
  </cols>
  <sheetData>
    <row r="1" spans="1:3" ht="12.75" customHeight="1">
      <c r="A1" s="758" t="s">
        <v>0</v>
      </c>
      <c r="B1" s="759"/>
      <c r="C1" s="759"/>
    </row>
    <row r="2" spans="1:3" ht="12.75" customHeight="1">
      <c r="A2" s="760" t="s">
        <v>1</v>
      </c>
      <c r="B2" s="759"/>
      <c r="C2" s="759"/>
    </row>
    <row r="3" spans="1:3" ht="12.75" customHeight="1">
      <c r="A3" s="760" t="s">
        <v>487</v>
      </c>
      <c r="B3" s="759"/>
      <c r="C3" s="759"/>
    </row>
    <row r="4" spans="1:3" ht="12.75" customHeight="1">
      <c r="A4" s="759"/>
      <c r="B4" s="761"/>
      <c r="C4" s="761"/>
    </row>
    <row r="5" spans="1:3" ht="13">
      <c r="A5" s="762" t="s">
        <v>953</v>
      </c>
      <c r="B5" s="762"/>
      <c r="C5" s="762"/>
    </row>
    <row r="6" spans="1:3" ht="13">
      <c r="A6" s="763"/>
      <c r="B6" s="764"/>
      <c r="C6" s="765"/>
    </row>
    <row r="7" spans="1:3" ht="13">
      <c r="A7" s="766" t="s">
        <v>20</v>
      </c>
      <c r="B7" s="226" t="s">
        <v>328</v>
      </c>
      <c r="C7" s="767">
        <v>0.053600000000000002</v>
      </c>
    </row>
    <row r="8" spans="1:3" ht="13">
      <c r="A8" s="768" t="s">
        <v>22</v>
      </c>
      <c r="B8" s="769" t="s">
        <v>954</v>
      </c>
      <c r="C8" s="770">
        <v>0.03</v>
      </c>
    </row>
    <row r="9" spans="1:3" ht="13">
      <c r="A9" s="768" t="s">
        <v>25</v>
      </c>
      <c r="B9" s="769" t="s">
        <v>330</v>
      </c>
      <c r="C9" s="770">
        <v>0.0080000000000000002</v>
      </c>
    </row>
    <row r="10" spans="1:3" ht="13">
      <c r="A10" s="768" t="s">
        <v>27</v>
      </c>
      <c r="B10" s="769" t="s">
        <v>331</v>
      </c>
      <c r="C10" s="770">
        <v>0.0097000000000000003</v>
      </c>
    </row>
    <row r="11" spans="1:3" ht="13">
      <c r="A11" s="768" t="s">
        <v>496</v>
      </c>
      <c r="B11" s="769" t="s">
        <v>333</v>
      </c>
      <c r="C11" s="770">
        <v>0.0058999999999999999</v>
      </c>
    </row>
    <row r="12" spans="1:3" ht="13">
      <c r="A12" s="768"/>
      <c r="B12" s="769"/>
      <c r="C12" s="770"/>
    </row>
    <row r="13" spans="1:3" ht="13">
      <c r="A13" s="766" t="s">
        <v>30</v>
      </c>
      <c r="B13" s="226" t="s">
        <v>334</v>
      </c>
      <c r="C13" s="767">
        <v>0.13150000000000001</v>
      </c>
    </row>
    <row r="14" spans="1:3" ht="13">
      <c r="A14" s="768" t="s">
        <v>32</v>
      </c>
      <c r="B14" s="769" t="s">
        <v>335</v>
      </c>
      <c r="C14" s="770">
        <v>0.0064999999999999997</v>
      </c>
    </row>
    <row r="15" spans="1:3" ht="13">
      <c r="A15" s="768" t="s">
        <v>35</v>
      </c>
      <c r="B15" s="769" t="s">
        <v>336</v>
      </c>
      <c r="C15" s="770">
        <v>0.03</v>
      </c>
    </row>
    <row r="16" spans="1:3" ht="13">
      <c r="A16" s="768" t="s">
        <v>337</v>
      </c>
      <c r="B16" s="769" t="s">
        <v>338</v>
      </c>
      <c r="C16" s="770">
        <v>0.05</v>
      </c>
    </row>
    <row r="17" spans="1:3" ht="13">
      <c r="A17" s="768" t="s">
        <v>339</v>
      </c>
      <c r="B17" s="769" t="s">
        <v>340</v>
      </c>
      <c r="C17" s="770">
        <v>0.044999999999999998</v>
      </c>
    </row>
    <row r="18" spans="1:3" ht="13">
      <c r="A18" s="768"/>
      <c r="B18" s="769"/>
      <c r="C18" s="769"/>
    </row>
    <row r="19" spans="1:3" ht="13">
      <c r="A19" s="766" t="s">
        <v>37</v>
      </c>
      <c r="B19" s="226" t="s">
        <v>341</v>
      </c>
      <c r="C19" s="771">
        <v>0.061600000000000002</v>
      </c>
    </row>
    <row r="20" spans="1:3" ht="13">
      <c r="A20" s="768" t="s">
        <v>39</v>
      </c>
      <c r="B20" s="769" t="s">
        <v>342</v>
      </c>
      <c r="C20" s="772">
        <v>0.061600000000000002</v>
      </c>
    </row>
    <row r="21" spans="1:3" ht="13">
      <c r="A21" s="768"/>
      <c r="B21" s="769"/>
      <c r="C21" s="769"/>
    </row>
    <row r="22" spans="1:3" ht="13">
      <c r="A22" s="766" t="s">
        <v>41</v>
      </c>
      <c r="B22" s="226" t="s">
        <v>343</v>
      </c>
      <c r="C22" s="767">
        <v>0.28820000000000001</v>
      </c>
    </row>
    <row r="23" spans="1:3" ht="13">
      <c r="A23" s="234"/>
      <c r="B23" s="234"/>
      <c r="C23" s="234"/>
    </row>
    <row r="24" spans="1:3" ht="25" customHeight="1">
      <c r="A24" s="231" t="s">
        <v>344</v>
      </c>
      <c r="B24" s="231"/>
      <c r="C24" s="231"/>
    </row>
    <row r="25" spans="1:3" ht="13">
      <c r="A25" s="234"/>
      <c r="B25" s="234"/>
      <c r="C25" s="234"/>
    </row>
    <row r="26" spans="1:3" ht="13">
      <c r="A26" s="234"/>
      <c r="B26" s="637"/>
      <c r="C26" s="234"/>
    </row>
    <row r="27" spans="1:3" ht="30.75" customHeight="1">
      <c r="A27" s="234"/>
      <c r="B27" s="234"/>
      <c r="C27" s="234"/>
    </row>
    <row r="28" spans="1:3" ht="13">
      <c r="A28" s="234" t="s">
        <v>955</v>
      </c>
      <c r="B28" s="234"/>
      <c r="C28" s="234"/>
    </row>
    <row r="29" spans="1:3" ht="13">
      <c r="A29" s="234" t="s">
        <v>956</v>
      </c>
      <c r="B29" s="234"/>
      <c r="C29" s="234"/>
    </row>
    <row r="30" spans="1:3" ht="13">
      <c r="A30" s="234" t="s">
        <v>957</v>
      </c>
      <c r="B30" s="234"/>
      <c r="C30" s="234"/>
    </row>
    <row r="31" spans="1:3" ht="13">
      <c r="A31" s="234" t="s">
        <v>958</v>
      </c>
      <c r="B31" s="234"/>
      <c r="C31" s="234"/>
    </row>
    <row r="32" spans="1:3" ht="13">
      <c r="A32" s="234" t="s">
        <v>959</v>
      </c>
      <c r="B32" s="234"/>
      <c r="C32" s="234"/>
    </row>
    <row r="33" spans="1:3" ht="13">
      <c r="A33" s="234" t="s">
        <v>960</v>
      </c>
      <c r="B33" s="234"/>
      <c r="C33" s="234"/>
    </row>
    <row r="34" spans="1:3" ht="13">
      <c r="A34" s="234" t="s">
        <v>961</v>
      </c>
      <c r="B34" s="637"/>
      <c r="C34" s="637"/>
    </row>
    <row r="35" spans="1:3" ht="13">
      <c r="A35" s="754"/>
      <c r="B35" s="637"/>
      <c r="C35" s="637"/>
    </row>
    <row r="36" spans="1:3" ht="13">
      <c r="A36" s="754"/>
      <c r="B36" s="637"/>
      <c r="C36" s="637"/>
    </row>
    <row r="37" spans="1:1" ht="13">
      <c r="A37" s="754"/>
    </row>
    <row r="38" spans="1:1" ht="13">
      <c r="A38" s="754"/>
    </row>
    <row r="39" spans="1:1" ht="13">
      <c r="A39" s="754"/>
    </row>
    <row r="40" spans="1:1" ht="13">
      <c r="A40" s="755"/>
    </row>
    <row r="41" spans="1:1" ht="13">
      <c r="A41" s="636" t="s">
        <v>206</v>
      </c>
    </row>
    <row r="42" spans="1:1" ht="13">
      <c r="A42" s="636" t="s">
        <v>899</v>
      </c>
    </row>
  </sheetData>
  <mergeCells count="3">
    <mergeCell ref="A5:C5"/>
    <mergeCell ref="A6:C6"/>
    <mergeCell ref="A24:C24"/>
  </mergeCells>
  <printOptions horizontalCentered="1"/>
  <pageMargins left="0.5118110236220472" right="0.5118110236220472" top="0.7874015748031497" bottom="0.7874015748031497" header="0.31496062992125984" footer="0.31496062992125984"/>
  <pageSetup horizontalDpi="360" verticalDpi="360" orientation="portrait" paperSize="9" r:id="rId2"/>
  <headerFooter>
    <oddFooter>&amp;CPágina &amp;P de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2d71eb-25b5-46fc-ab60-a916c53809cd}">
  <sheetPr>
    <pageSetUpPr fitToPage="1"/>
  </sheetPr>
  <dimension ref="A1:D50"/>
  <sheetViews>
    <sheetView showGridLines="0" view="pageBreakPreview" zoomScaleNormal="100" zoomScaleSheetLayoutView="100" workbookViewId="0" topLeftCell="A1">
      <selection pane="topLeft" activeCell="A5" sqref="A5:D5"/>
    </sheetView>
  </sheetViews>
  <sheetFormatPr defaultColWidth="9.184285714285714" defaultRowHeight="13" customHeight="1"/>
  <cols>
    <col min="1" max="1" width="9.142857142857142" style="756"/>
    <col min="2" max="2" width="45.857142857142854" style="756" bestFit="1" customWidth="1"/>
    <col min="3" max="3" width="9.428571428571429" style="756" bestFit="1" customWidth="1"/>
    <col min="4" max="4" width="12.571428571428571" style="756" bestFit="1" customWidth="1"/>
    <col min="5" max="16384" width="9.142857142857142" style="756"/>
  </cols>
  <sheetData>
    <row r="1" spans="1:4" ht="13">
      <c r="A1" s="758" t="s">
        <v>0</v>
      </c>
      <c r="B1" s="759"/>
      <c r="C1" s="759"/>
      <c r="D1" s="759"/>
    </row>
    <row r="2" spans="1:4" ht="13">
      <c r="A2" s="760" t="s">
        <v>1</v>
      </c>
      <c r="B2" s="759"/>
      <c r="C2" s="759"/>
      <c r="D2" s="759"/>
    </row>
    <row r="3" spans="1:4" ht="13">
      <c r="A3" s="760" t="s">
        <v>487</v>
      </c>
      <c r="B3" s="759"/>
      <c r="C3" s="759"/>
      <c r="D3" s="759"/>
    </row>
    <row r="4" spans="1:4" ht="13">
      <c r="A4" s="762"/>
      <c r="B4" s="762"/>
      <c r="C4" s="762"/>
      <c r="D4" s="762"/>
    </row>
    <row r="5" spans="1:4" ht="12.75" customHeight="1">
      <c r="A5" s="774" t="s">
        <v>962</v>
      </c>
      <c r="B5" s="774"/>
      <c r="C5" s="774"/>
      <c r="D5" s="774"/>
    </row>
    <row r="6" spans="1:4" ht="13">
      <c r="A6" s="775"/>
      <c r="B6" s="775"/>
      <c r="C6" s="775"/>
      <c r="D6" s="775"/>
    </row>
    <row r="7" spans="1:4" ht="13">
      <c r="A7" s="237" t="s">
        <v>169</v>
      </c>
      <c r="B7" s="238" t="s">
        <v>10</v>
      </c>
      <c r="C7" s="237" t="s">
        <v>353</v>
      </c>
      <c r="D7" s="239" t="s">
        <v>354</v>
      </c>
    </row>
    <row r="8" spans="1:4" ht="13">
      <c r="A8" s="238" t="s">
        <v>355</v>
      </c>
      <c r="B8" s="240"/>
      <c r="C8" s="240"/>
      <c r="D8" s="241"/>
    </row>
    <row r="9" spans="1:4" ht="13">
      <c r="A9" s="242" t="s">
        <v>356</v>
      </c>
      <c r="B9" s="243" t="s">
        <v>357</v>
      </c>
      <c r="C9" s="244">
        <v>0</v>
      </c>
      <c r="D9" s="244">
        <v>0</v>
      </c>
    </row>
    <row r="10" spans="1:4" ht="13">
      <c r="A10" s="242" t="s">
        <v>358</v>
      </c>
      <c r="B10" s="243" t="s">
        <v>359</v>
      </c>
      <c r="C10" s="244">
        <v>0.014999999999999999</v>
      </c>
      <c r="D10" s="244">
        <v>0.014999999999999999</v>
      </c>
    </row>
    <row r="11" spans="1:4" ht="13">
      <c r="A11" s="242" t="s">
        <v>360</v>
      </c>
      <c r="B11" s="243" t="s">
        <v>361</v>
      </c>
      <c r="C11" s="244">
        <v>0.01</v>
      </c>
      <c r="D11" s="244">
        <v>0.01</v>
      </c>
    </row>
    <row r="12" spans="1:4" ht="13">
      <c r="A12" s="242" t="s">
        <v>362</v>
      </c>
      <c r="B12" s="243" t="s">
        <v>363</v>
      </c>
      <c r="C12" s="244">
        <v>0.002</v>
      </c>
      <c r="D12" s="244">
        <v>0.002</v>
      </c>
    </row>
    <row r="13" spans="1:4" ht="13">
      <c r="A13" s="242" t="s">
        <v>364</v>
      </c>
      <c r="B13" s="243" t="s">
        <v>365</v>
      </c>
      <c r="C13" s="244">
        <v>0.0060000000000000001</v>
      </c>
      <c r="D13" s="244">
        <v>0.0060000000000000001</v>
      </c>
    </row>
    <row r="14" spans="1:4" ht="13">
      <c r="A14" s="242" t="s">
        <v>366</v>
      </c>
      <c r="B14" s="243" t="s">
        <v>367</v>
      </c>
      <c r="C14" s="244">
        <v>0.025000000000000001</v>
      </c>
      <c r="D14" s="244">
        <v>0.025000000000000001</v>
      </c>
    </row>
    <row r="15" spans="1:4" ht="13">
      <c r="A15" s="242" t="s">
        <v>368</v>
      </c>
      <c r="B15" s="243" t="s">
        <v>369</v>
      </c>
      <c r="C15" s="244">
        <v>0.03</v>
      </c>
      <c r="D15" s="244">
        <v>0.03</v>
      </c>
    </row>
    <row r="16" spans="1:4" ht="13">
      <c r="A16" s="242" t="s">
        <v>370</v>
      </c>
      <c r="B16" s="243" t="s">
        <v>371</v>
      </c>
      <c r="C16" s="244">
        <v>0.08</v>
      </c>
      <c r="D16" s="244">
        <v>0.08</v>
      </c>
    </row>
    <row r="17" spans="1:4" ht="13">
      <c r="A17" s="242" t="s">
        <v>372</v>
      </c>
      <c r="B17" s="243" t="s">
        <v>373</v>
      </c>
      <c r="C17" s="244">
        <v>0</v>
      </c>
      <c r="D17" s="244">
        <v>0</v>
      </c>
    </row>
    <row r="18" spans="1:4" ht="13">
      <c r="A18" s="245" t="s">
        <v>374</v>
      </c>
      <c r="B18" s="246" t="s">
        <v>304</v>
      </c>
      <c r="C18" s="247">
        <v>0.16800000000000001</v>
      </c>
      <c r="D18" s="247">
        <v>0.16800000000000001</v>
      </c>
    </row>
    <row r="19" spans="1:4" ht="13">
      <c r="A19" s="248" t="s">
        <v>375</v>
      </c>
      <c r="B19" s="249"/>
      <c r="C19" s="249"/>
      <c r="D19" s="250"/>
    </row>
    <row r="20" spans="1:4" ht="13">
      <c r="A20" s="251" t="s">
        <v>376</v>
      </c>
      <c r="B20" s="252" t="s">
        <v>377</v>
      </c>
      <c r="C20" s="253">
        <v>0.1812</v>
      </c>
      <c r="D20" s="253" t="s">
        <v>378</v>
      </c>
    </row>
    <row r="21" spans="1:4" ht="13">
      <c r="A21" s="242" t="s">
        <v>379</v>
      </c>
      <c r="B21" s="254" t="s">
        <v>380</v>
      </c>
      <c r="C21" s="244">
        <v>0.041599999999999998</v>
      </c>
      <c r="D21" s="244" t="s">
        <v>378</v>
      </c>
    </row>
    <row r="22" spans="1:4" ht="13">
      <c r="A22" s="251" t="s">
        <v>381</v>
      </c>
      <c r="B22" s="254" t="s">
        <v>382</v>
      </c>
      <c r="C22" s="244">
        <v>0.0094000000000000004</v>
      </c>
      <c r="D22" s="244">
        <v>0.0071000000000000004</v>
      </c>
    </row>
    <row r="23" spans="1:4" ht="13">
      <c r="A23" s="242" t="s">
        <v>383</v>
      </c>
      <c r="B23" s="254" t="s">
        <v>384</v>
      </c>
      <c r="C23" s="244">
        <v>0.1103</v>
      </c>
      <c r="D23" s="244">
        <v>0.083299999999999999</v>
      </c>
    </row>
    <row r="24" spans="1:4" ht="13">
      <c r="A24" s="251" t="s">
        <v>385</v>
      </c>
      <c r="B24" s="254" t="s">
        <v>386</v>
      </c>
      <c r="C24" s="244">
        <v>0.00069999999999999999</v>
      </c>
      <c r="D24" s="244">
        <v>0.00059999999999999995</v>
      </c>
    </row>
    <row r="25" spans="1:4" ht="13">
      <c r="A25" s="242" t="s">
        <v>387</v>
      </c>
      <c r="B25" s="254" t="s">
        <v>388</v>
      </c>
      <c r="C25" s="244">
        <v>0.0074000000000000003</v>
      </c>
      <c r="D25" s="244">
        <v>0.0055999999999999999</v>
      </c>
    </row>
    <row r="26" spans="1:4" ht="13">
      <c r="A26" s="251" t="s">
        <v>389</v>
      </c>
      <c r="B26" s="254" t="s">
        <v>390</v>
      </c>
      <c r="C26" s="244">
        <v>0.0269</v>
      </c>
      <c r="D26" s="244" t="s">
        <v>378</v>
      </c>
    </row>
    <row r="27" spans="1:4" ht="13">
      <c r="A27" s="242" t="s">
        <v>391</v>
      </c>
      <c r="B27" s="254" t="s">
        <v>392</v>
      </c>
      <c r="C27" s="244">
        <v>0.0011000000000000001</v>
      </c>
      <c r="D27" s="244">
        <v>0.00089999999999999998</v>
      </c>
    </row>
    <row r="28" spans="1:4" ht="13">
      <c r="A28" s="251" t="s">
        <v>393</v>
      </c>
      <c r="B28" s="254" t="s">
        <v>394</v>
      </c>
      <c r="C28" s="244">
        <v>0.097100000000000006</v>
      </c>
      <c r="D28" s="244">
        <v>0.070300000000000001</v>
      </c>
    </row>
    <row r="29" spans="1:4" ht="13">
      <c r="A29" s="242" t="s">
        <v>395</v>
      </c>
      <c r="B29" s="254" t="s">
        <v>396</v>
      </c>
      <c r="C29" s="244">
        <v>0.00029999999999999997</v>
      </c>
      <c r="D29" s="244">
        <v>0.00029999999999999997</v>
      </c>
    </row>
    <row r="30" spans="1:4" ht="13">
      <c r="A30" s="245" t="s">
        <v>397</v>
      </c>
      <c r="B30" s="255" t="s">
        <v>304</v>
      </c>
      <c r="C30" s="247">
        <v>0.47599999999999998</v>
      </c>
      <c r="D30" s="247">
        <v>0.1681</v>
      </c>
    </row>
    <row r="31" spans="1:4" ht="13">
      <c r="A31" s="248" t="s">
        <v>398</v>
      </c>
      <c r="B31" s="249"/>
      <c r="C31" s="249"/>
      <c r="D31" s="250"/>
    </row>
    <row r="32" spans="1:4" ht="13">
      <c r="A32" s="251" t="s">
        <v>399</v>
      </c>
      <c r="B32" s="252" t="s">
        <v>400</v>
      </c>
      <c r="C32" s="253">
        <v>0.056899999999999999</v>
      </c>
      <c r="D32" s="253">
        <v>0.043200000000000002</v>
      </c>
    </row>
    <row r="33" spans="1:4" ht="13">
      <c r="A33" s="251" t="s">
        <v>401</v>
      </c>
      <c r="B33" s="252" t="s">
        <v>402</v>
      </c>
      <c r="C33" s="253">
        <v>0.0012999999999999999</v>
      </c>
      <c r="D33" s="253">
        <v>0.001</v>
      </c>
    </row>
    <row r="34" spans="1:4" ht="13">
      <c r="A34" s="251" t="s">
        <v>403</v>
      </c>
      <c r="B34" s="252" t="s">
        <v>404</v>
      </c>
      <c r="C34" s="253">
        <v>0.044699999999999997</v>
      </c>
      <c r="D34" s="253">
        <v>0.0339</v>
      </c>
    </row>
    <row r="35" spans="1:4" ht="13">
      <c r="A35" s="251" t="s">
        <v>405</v>
      </c>
      <c r="B35" s="252" t="s">
        <v>406</v>
      </c>
      <c r="C35" s="253">
        <v>0.039300000000000002</v>
      </c>
      <c r="D35" s="253">
        <v>0.0298</v>
      </c>
    </row>
    <row r="36" spans="1:4" ht="13">
      <c r="A36" s="251" t="s">
        <v>407</v>
      </c>
      <c r="B36" s="252" t="s">
        <v>408</v>
      </c>
      <c r="C36" s="253">
        <v>0.0047999999999999996</v>
      </c>
      <c r="D36" s="253">
        <v>0.0035999999999999999</v>
      </c>
    </row>
    <row r="37" spans="1:4" ht="13">
      <c r="A37" s="237"/>
      <c r="B37" s="256" t="s">
        <v>304</v>
      </c>
      <c r="C37" s="239">
        <v>0.14699999999999999</v>
      </c>
      <c r="D37" s="239">
        <v>0.1115</v>
      </c>
    </row>
    <row r="38" spans="1:4" ht="13">
      <c r="A38" s="238" t="s">
        <v>410</v>
      </c>
      <c r="B38" s="240"/>
      <c r="C38" s="240"/>
      <c r="D38" s="241"/>
    </row>
    <row r="39" spans="1:4" ht="13">
      <c r="A39" s="251" t="s">
        <v>411</v>
      </c>
      <c r="B39" s="257" t="s">
        <v>412</v>
      </c>
      <c r="C39" s="253">
        <v>0.079000000000000001</v>
      </c>
      <c r="D39" s="253">
        <v>0.028199999999999999</v>
      </c>
    </row>
    <row r="40" spans="1:4" ht="26">
      <c r="A40" s="251" t="s">
        <v>413</v>
      </c>
      <c r="B40" s="258" t="s">
        <v>414</v>
      </c>
      <c r="C40" s="253">
        <v>0.0047999999999999996</v>
      </c>
      <c r="D40" s="253">
        <v>0.0035999999999999999</v>
      </c>
    </row>
    <row r="41" spans="1:4" ht="13">
      <c r="A41" s="259" t="s">
        <v>415</v>
      </c>
      <c r="B41" s="260" t="s">
        <v>304</v>
      </c>
      <c r="C41" s="261">
        <v>0.083799999999999999</v>
      </c>
      <c r="D41" s="261">
        <v>0.031800000000000002</v>
      </c>
    </row>
    <row r="42" spans="1:4" ht="13">
      <c r="A42" s="256" t="s">
        <v>416</v>
      </c>
      <c r="B42" s="262"/>
      <c r="C42" s="239">
        <v>0.87480000000000002</v>
      </c>
      <c r="D42" s="239">
        <v>0.47939999999999999</v>
      </c>
    </row>
    <row r="43" spans="1:1" ht="13">
      <c r="A43" s="754"/>
    </row>
    <row r="44" spans="1:1" ht="13">
      <c r="A44" s="754"/>
    </row>
    <row r="45" spans="1:1" ht="13">
      <c r="A45" s="754"/>
    </row>
    <row r="46" spans="1:1" ht="13">
      <c r="A46" s="754"/>
    </row>
    <row r="47" spans="1:1" ht="13">
      <c r="A47" s="754"/>
    </row>
    <row r="48" spans="1:1" ht="13">
      <c r="A48" s="755"/>
    </row>
    <row r="49" spans="1:1" ht="13">
      <c r="A49" s="636" t="s">
        <v>206</v>
      </c>
    </row>
    <row r="50" spans="1:1" ht="13">
      <c r="A50" s="636" t="s">
        <v>899</v>
      </c>
    </row>
  </sheetData>
  <mergeCells count="6">
    <mergeCell ref="A42:B42"/>
    <mergeCell ref="A5:D5"/>
    <mergeCell ref="A8:D8"/>
    <mergeCell ref="A19:D19"/>
    <mergeCell ref="A31:D31"/>
    <mergeCell ref="A38:D38"/>
  </mergeCells>
  <printOptions horizontalCentered="1"/>
  <pageMargins left="0.5118110236220472" right="0.5118110236220472" top="0.7874015748031497" bottom="0.7874015748031497" header="0.31496062992125984" footer="0.31496062992125984"/>
  <pageSetup horizontalDpi="360" verticalDpi="360" orientation="portrait" paperSize="9" r:id="rId2"/>
  <headerFooter>
    <oddFooter>&amp;CPágina &amp;P de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b338d7-b2ee-4ae4-b075-c87b46d6217f}">
  <sheetPr>
    <pageSetUpPr fitToPage="1"/>
  </sheetPr>
  <dimension ref="A1:AU38"/>
  <sheetViews>
    <sheetView showGridLines="0" view="pageBreakPreview" zoomScale="89" zoomScaleNormal="75" zoomScaleSheetLayoutView="89" workbookViewId="0" topLeftCell="A1">
      <selection pane="topLeft" activeCell="AL29" sqref="AL29"/>
    </sheetView>
  </sheetViews>
  <sheetFormatPr defaultColWidth="9.112723214285714" defaultRowHeight="13.8" customHeight="1"/>
  <cols>
    <col min="1" max="1" width="8.571428571428571" style="779" customWidth="1"/>
    <col min="2" max="2" width="55.42857142857143" style="799" customWidth="1"/>
    <col min="3" max="3" width="7.571428571428571" style="830" bestFit="1" customWidth="1"/>
    <col min="4" max="4" width="7.857142857142857" style="831" bestFit="1" customWidth="1"/>
    <col min="5" max="5" width="15.714285714285714" style="832" customWidth="1"/>
    <col min="6" max="6" width="15.142857142857142" style="832" customWidth="1"/>
    <col min="7" max="7" width="15.285714285714286" style="832" customWidth="1"/>
    <col min="8" max="8" width="10.571428571428571" style="793" hidden="1" customWidth="1"/>
    <col min="9" max="9" width="14.428571428571429" style="829" hidden="1" customWidth="1"/>
    <col min="10" max="10" width="13.285714285714286" style="793" hidden="1" customWidth="1"/>
    <col min="11" max="11" width="14.142857142857142" style="793" hidden="1" customWidth="1"/>
    <col min="12" max="12" width="13.428571428571429" style="793" customWidth="1"/>
    <col min="13" max="13" width="13.714285714285714" style="793" customWidth="1"/>
    <col min="14" max="14" width="0.7142857142857143" style="793" hidden="1" customWidth="1"/>
    <col min="15" max="15" width="6.714285714285714" style="793" hidden="1" customWidth="1"/>
    <col min="16" max="16" width="6.142857142857143" style="793" hidden="1" customWidth="1"/>
    <col min="17" max="17" width="9.285714285714286" style="793" hidden="1" customWidth="1"/>
    <col min="18" max="18" width="9.428571428571429" style="793" hidden="1" customWidth="1"/>
    <col min="19" max="19" width="8.714285714285714" style="793" hidden="1" customWidth="1"/>
    <col min="20" max="21" width="7.285714285714286" style="793" hidden="1" customWidth="1"/>
    <col min="22" max="23" width="8" style="793" hidden="1" customWidth="1"/>
    <col min="24" max="24" width="9.857142857142858" style="793" hidden="1" customWidth="1"/>
    <col min="25" max="25" width="9.142857142857142" style="793" hidden="1" customWidth="1"/>
    <col min="26" max="26" width="10.428571428571429" style="793" hidden="1" customWidth="1"/>
    <col min="27" max="28" width="9.285714285714286" style="793" hidden="1" customWidth="1"/>
    <col min="29" max="29" width="8.857142857142858" style="793" hidden="1" customWidth="1"/>
    <col min="30" max="30" width="9" style="793" hidden="1" customWidth="1"/>
    <col min="31" max="31" width="9.714285714285714" style="793" hidden="1" customWidth="1"/>
    <col min="32" max="32" width="9.142857142857142" style="793"/>
    <col min="33" max="33" width="13.571428571428571" style="793" bestFit="1" customWidth="1"/>
    <col min="34" max="34" width="9.142857142857142" style="793"/>
    <col min="35" max="35" width="13.571428571428571" style="793" bestFit="1" customWidth="1"/>
    <col min="36" max="16384" width="9.142857142857142" style="793"/>
  </cols>
  <sheetData>
    <row r="1" spans="1:7" ht="13.8">
      <c r="A1" s="777" t="s">
        <v>0</v>
      </c>
      <c r="B1" s="777"/>
      <c r="C1" s="777"/>
      <c r="D1" s="777"/>
      <c r="E1" s="777"/>
      <c r="F1" s="777"/>
      <c r="G1" s="777"/>
    </row>
    <row r="2" spans="1:35" ht="12.75" customHeight="1">
      <c r="A2" s="778" t="s">
        <v>1</v>
      </c>
      <c r="B2" s="779"/>
      <c r="C2" s="780"/>
      <c r="D2" s="781"/>
      <c r="E2" s="782"/>
      <c r="F2" s="782"/>
      <c r="G2" s="782"/>
      <c r="AH2" s="783" t="s">
        <v>2</v>
      </c>
      <c r="AI2" s="783"/>
    </row>
    <row r="3" spans="1:35" ht="12.75" customHeight="1">
      <c r="A3" s="784" t="s">
        <v>963</v>
      </c>
      <c r="B3" s="784"/>
      <c r="C3" s="784"/>
      <c r="D3" s="784"/>
      <c r="E3" s="784"/>
      <c r="F3" s="784"/>
      <c r="G3" s="785"/>
      <c r="AH3" s="786">
        <v>3</v>
      </c>
      <c r="AI3" s="786"/>
    </row>
    <row r="4" spans="1:35" ht="12.75" customHeight="1">
      <c r="A4" s="784"/>
      <c r="B4" s="784"/>
      <c r="C4" s="784"/>
      <c r="D4" s="784"/>
      <c r="E4" s="784"/>
      <c r="F4" s="784"/>
      <c r="G4" s="785"/>
      <c r="AH4" s="786"/>
      <c r="AI4" s="786"/>
    </row>
    <row r="5" spans="1:35" ht="12.75" customHeight="1">
      <c r="A5" s="778" t="s">
        <v>964</v>
      </c>
      <c r="B5" s="787"/>
      <c r="C5" s="788"/>
      <c r="D5" s="789"/>
      <c r="E5" s="790"/>
      <c r="F5" s="790"/>
      <c r="G5" s="790"/>
      <c r="AH5" s="791" t="s">
        <v>965</v>
      </c>
      <c r="AI5" s="792">
        <v>45160</v>
      </c>
    </row>
    <row r="6" spans="1:35" ht="13.8">
      <c r="A6" s="778" t="s">
        <v>966</v>
      </c>
      <c r="B6" s="787"/>
      <c r="C6" s="788"/>
      <c r="D6" s="789"/>
      <c r="E6" s="790"/>
      <c r="F6" s="790"/>
      <c r="G6" s="790"/>
      <c r="AH6" s="791" t="s">
        <v>967</v>
      </c>
      <c r="AI6" s="792">
        <v>45210</v>
      </c>
    </row>
    <row r="7" spans="1:9" ht="13.8">
      <c r="A7" s="793"/>
      <c r="B7" s="787"/>
      <c r="C7" s="788"/>
      <c r="D7" s="789"/>
      <c r="E7" s="790"/>
      <c r="F7" s="790"/>
      <c r="G7" s="790"/>
      <c r="I7" s="793"/>
    </row>
    <row r="8" spans="1:35" ht="13.8">
      <c r="A8" s="794" t="s">
        <v>8</v>
      </c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4"/>
      <c r="AG8" s="794"/>
      <c r="AH8" s="794"/>
      <c r="AI8" s="794"/>
    </row>
    <row r="9" spans="1:7" ht="13.8">
      <c r="A9" s="795"/>
      <c r="B9" s="796"/>
      <c r="C9" s="796"/>
      <c r="D9" s="796"/>
      <c r="E9" s="797"/>
      <c r="F9" s="797"/>
      <c r="G9" s="797"/>
    </row>
    <row r="10" spans="1:35" ht="13.8">
      <c r="A10" s="798" t="s">
        <v>9</v>
      </c>
      <c r="B10" s="798" t="s">
        <v>10</v>
      </c>
      <c r="C10" s="798" t="s">
        <v>11</v>
      </c>
      <c r="D10" s="798" t="s">
        <v>12</v>
      </c>
      <c r="E10" s="798" t="s">
        <v>968</v>
      </c>
      <c r="F10" s="798"/>
      <c r="G10" s="798"/>
      <c r="H10" s="798" t="s">
        <v>15</v>
      </c>
      <c r="I10" s="798"/>
      <c r="J10" s="798" t="s">
        <v>15</v>
      </c>
      <c r="K10" s="798"/>
      <c r="L10" s="798" t="s">
        <v>15</v>
      </c>
      <c r="M10" s="798"/>
      <c r="N10" s="798" t="s">
        <v>15</v>
      </c>
      <c r="O10" s="798"/>
      <c r="P10" s="798" t="s">
        <v>15</v>
      </c>
      <c r="Q10" s="798"/>
      <c r="R10" s="798" t="s">
        <v>15</v>
      </c>
      <c r="S10" s="798"/>
      <c r="T10" s="798" t="s">
        <v>15</v>
      </c>
      <c r="U10" s="798"/>
      <c r="V10" s="798" t="s">
        <v>15</v>
      </c>
      <c r="W10" s="798"/>
      <c r="X10" s="798" t="s">
        <v>15</v>
      </c>
      <c r="Y10" s="798"/>
      <c r="Z10" s="798" t="s">
        <v>15</v>
      </c>
      <c r="AA10" s="798"/>
      <c r="AB10" s="798" t="s">
        <v>15</v>
      </c>
      <c r="AC10" s="798"/>
      <c r="AD10" s="798" t="s">
        <v>15</v>
      </c>
      <c r="AE10" s="798"/>
      <c r="AF10" s="798" t="s">
        <v>969</v>
      </c>
      <c r="AG10" s="798"/>
      <c r="AH10" s="798" t="s">
        <v>17</v>
      </c>
      <c r="AI10" s="798"/>
    </row>
    <row r="11" spans="1:35" s="799" customFormat="1" ht="13.8">
      <c r="A11" s="798"/>
      <c r="B11" s="798"/>
      <c r="C11" s="798"/>
      <c r="D11" s="798"/>
      <c r="E11" s="798"/>
      <c r="F11" s="798"/>
      <c r="G11" s="798"/>
      <c r="H11" s="800" t="s">
        <v>970</v>
      </c>
      <c r="I11" s="798">
        <v>1</v>
      </c>
      <c r="J11" s="800" t="s">
        <v>970</v>
      </c>
      <c r="K11" s="798">
        <v>2</v>
      </c>
      <c r="L11" s="800" t="s">
        <v>970</v>
      </c>
      <c r="M11" s="798">
        <v>3</v>
      </c>
      <c r="N11" s="800" t="s">
        <v>970</v>
      </c>
      <c r="O11" s="798">
        <v>4</v>
      </c>
      <c r="P11" s="800" t="s">
        <v>970</v>
      </c>
      <c r="Q11" s="798">
        <v>5</v>
      </c>
      <c r="R11" s="800" t="s">
        <v>970</v>
      </c>
      <c r="S11" s="798">
        <v>6</v>
      </c>
      <c r="T11" s="800" t="s">
        <v>970</v>
      </c>
      <c r="U11" s="798">
        <v>7</v>
      </c>
      <c r="V11" s="800" t="s">
        <v>970</v>
      </c>
      <c r="W11" s="798">
        <v>8</v>
      </c>
      <c r="X11" s="800" t="s">
        <v>970</v>
      </c>
      <c r="Y11" s="798">
        <v>9</v>
      </c>
      <c r="Z11" s="800" t="s">
        <v>970</v>
      </c>
      <c r="AA11" s="798">
        <v>10</v>
      </c>
      <c r="AB11" s="800" t="s">
        <v>970</v>
      </c>
      <c r="AC11" s="798">
        <v>11</v>
      </c>
      <c r="AD11" s="800" t="s">
        <v>970</v>
      </c>
      <c r="AE11" s="798">
        <v>2</v>
      </c>
      <c r="AF11" s="798"/>
      <c r="AG11" s="798"/>
      <c r="AH11" s="798"/>
      <c r="AI11" s="798"/>
    </row>
    <row r="12" spans="1:35" s="799" customFormat="1" ht="13.8">
      <c r="A12" s="798"/>
      <c r="B12" s="798"/>
      <c r="C12" s="798"/>
      <c r="D12" s="798"/>
      <c r="E12" s="801" t="s">
        <v>971</v>
      </c>
      <c r="F12" s="802" t="s">
        <v>491</v>
      </c>
      <c r="G12" s="803" t="s">
        <v>14</v>
      </c>
      <c r="H12" s="798" t="s">
        <v>12</v>
      </c>
      <c r="I12" s="803" t="s">
        <v>14</v>
      </c>
      <c r="J12" s="798" t="s">
        <v>12</v>
      </c>
      <c r="K12" s="798" t="s">
        <v>14</v>
      </c>
      <c r="L12" s="798" t="s">
        <v>12</v>
      </c>
      <c r="M12" s="798" t="s">
        <v>14</v>
      </c>
      <c r="N12" s="798" t="s">
        <v>12</v>
      </c>
      <c r="O12" s="798" t="s">
        <v>14</v>
      </c>
      <c r="P12" s="798" t="s">
        <v>12</v>
      </c>
      <c r="Q12" s="798" t="s">
        <v>14</v>
      </c>
      <c r="R12" s="798" t="s">
        <v>12</v>
      </c>
      <c r="S12" s="798" t="s">
        <v>14</v>
      </c>
      <c r="T12" s="798" t="s">
        <v>12</v>
      </c>
      <c r="U12" s="798" t="s">
        <v>14</v>
      </c>
      <c r="V12" s="798" t="s">
        <v>12</v>
      </c>
      <c r="W12" s="798" t="s">
        <v>14</v>
      </c>
      <c r="X12" s="798" t="s">
        <v>12</v>
      </c>
      <c r="Y12" s="798" t="s">
        <v>14</v>
      </c>
      <c r="Z12" s="798" t="s">
        <v>12</v>
      </c>
      <c r="AA12" s="798" t="s">
        <v>14</v>
      </c>
      <c r="AB12" s="798" t="s">
        <v>12</v>
      </c>
      <c r="AC12" s="798" t="s">
        <v>14</v>
      </c>
      <c r="AD12" s="798" t="s">
        <v>12</v>
      </c>
      <c r="AE12" s="798" t="s">
        <v>14</v>
      </c>
      <c r="AF12" s="798" t="s">
        <v>12</v>
      </c>
      <c r="AG12" s="798" t="s">
        <v>14</v>
      </c>
      <c r="AH12" s="798" t="s">
        <v>12</v>
      </c>
      <c r="AI12" s="798" t="s">
        <v>14</v>
      </c>
    </row>
    <row r="13" spans="1:35" ht="13.8">
      <c r="A13" s="804"/>
      <c r="B13" s="804"/>
      <c r="C13" s="804"/>
      <c r="D13" s="804"/>
      <c r="E13" s="805"/>
      <c r="F13" s="805"/>
      <c r="G13" s="806"/>
      <c r="H13" s="807"/>
      <c r="I13" s="808"/>
      <c r="J13" s="807"/>
      <c r="K13" s="807"/>
      <c r="L13" s="807"/>
      <c r="M13" s="807"/>
      <c r="N13" s="807"/>
      <c r="O13" s="807"/>
      <c r="P13" s="807"/>
      <c r="Q13" s="807"/>
      <c r="R13" s="807"/>
      <c r="S13" s="807"/>
      <c r="T13" s="807"/>
      <c r="U13" s="807"/>
      <c r="V13" s="807"/>
      <c r="W13" s="807"/>
      <c r="X13" s="807"/>
      <c r="Y13" s="807"/>
      <c r="Z13" s="807"/>
      <c r="AA13" s="807"/>
      <c r="AB13" s="807"/>
      <c r="AC13" s="807"/>
      <c r="AD13" s="807"/>
      <c r="AE13" s="807"/>
      <c r="AF13" s="807"/>
      <c r="AG13" s="807"/>
      <c r="AH13" s="807"/>
      <c r="AI13" s="807"/>
    </row>
    <row r="14" spans="1:35" ht="13.8">
      <c r="A14" s="809">
        <v>1</v>
      </c>
      <c r="B14" s="810" t="s">
        <v>21</v>
      </c>
      <c r="C14" s="811"/>
      <c r="D14" s="811"/>
      <c r="E14" s="805"/>
      <c r="F14" s="812" t="s">
        <v>972</v>
      </c>
      <c r="G14" s="805">
        <v>22705</v>
      </c>
      <c r="H14" s="807"/>
      <c r="I14" s="808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7"/>
    </row>
    <row r="15" spans="1:35" ht="13.8">
      <c r="A15" s="813" t="s">
        <v>22</v>
      </c>
      <c r="B15" s="814" t="s">
        <v>973</v>
      </c>
      <c r="C15" s="815" t="s">
        <v>974</v>
      </c>
      <c r="D15" s="816">
        <v>18</v>
      </c>
      <c r="E15" s="817">
        <v>435.14</v>
      </c>
      <c r="F15" s="817">
        <v>570</v>
      </c>
      <c r="G15" s="817">
        <v>10260</v>
      </c>
      <c r="H15" s="818">
        <v>8</v>
      </c>
      <c r="I15" s="808">
        <f>H15*$F15</f>
        <v>4560</v>
      </c>
      <c r="J15" s="818">
        <v>2</v>
      </c>
      <c r="K15" s="808">
        <f>J15*$F15</f>
        <v>1140</v>
      </c>
      <c r="L15" s="818">
        <v>2</v>
      </c>
      <c r="M15" s="808">
        <f>L15*$F15</f>
        <v>1140</v>
      </c>
      <c r="N15" s="818"/>
      <c r="O15" s="808">
        <f>N15*$F15</f>
        <v>0</v>
      </c>
      <c r="P15" s="818"/>
      <c r="Q15" s="808">
        <f>P15*$F15</f>
        <v>0</v>
      </c>
      <c r="R15" s="818"/>
      <c r="S15" s="808">
        <f>R15*$F15</f>
        <v>0</v>
      </c>
      <c r="T15" s="818"/>
      <c r="U15" s="808">
        <f>T15*$F15</f>
        <v>0</v>
      </c>
      <c r="V15" s="818"/>
      <c r="W15" s="808">
        <f>V15*$F15</f>
        <v>0</v>
      </c>
      <c r="X15" s="818"/>
      <c r="Y15" s="808">
        <f>X15*$F15</f>
        <v>0</v>
      </c>
      <c r="Z15" s="818"/>
      <c r="AA15" s="808">
        <f>Z15*$F15</f>
        <v>0</v>
      </c>
      <c r="AB15" s="818"/>
      <c r="AC15" s="808">
        <f>AB15*$F15</f>
        <v>0</v>
      </c>
      <c r="AD15" s="818"/>
      <c r="AE15" s="808">
        <f>AD15*$F15</f>
        <v>0</v>
      </c>
      <c r="AF15" s="819">
        <f>SUM(H15,J15,L15,N15,P15,R15,T15,V15,X15,Z15,AB15,AD15)</f>
        <v>12</v>
      </c>
      <c r="AG15" s="808">
        <f>AF15*$F15</f>
        <v>6840</v>
      </c>
      <c r="AH15" s="820">
        <f>D15-AF15</f>
        <v>6</v>
      </c>
      <c r="AI15" s="808">
        <f>AH15*$F15</f>
        <v>3420</v>
      </c>
    </row>
    <row r="16" spans="1:35" s="799" customFormat="1" ht="13.8">
      <c r="A16" s="813" t="s">
        <v>25</v>
      </c>
      <c r="B16" s="814" t="s">
        <v>975</v>
      </c>
      <c r="C16" s="815" t="s">
        <v>974</v>
      </c>
      <c r="D16" s="816">
        <v>3</v>
      </c>
      <c r="E16" s="817">
        <v>547.32000000000005</v>
      </c>
      <c r="F16" s="817">
        <v>715</v>
      </c>
      <c r="G16" s="817">
        <v>2145</v>
      </c>
      <c r="H16" s="821">
        <v>3</v>
      </c>
      <c r="I16" s="808">
        <f t="shared" si="0" ref="I16:K17">H16*$F16</f>
        <v>2145</v>
      </c>
      <c r="J16" s="821"/>
      <c r="K16" s="808">
        <f t="shared" si="0"/>
        <v>0</v>
      </c>
      <c r="L16" s="821"/>
      <c r="M16" s="808">
        <f>L16*$F16</f>
        <v>0</v>
      </c>
      <c r="N16" s="821"/>
      <c r="O16" s="808">
        <f>N16*$F16</f>
        <v>0</v>
      </c>
      <c r="P16" s="821"/>
      <c r="Q16" s="808">
        <f>P16*$F16</f>
        <v>0</v>
      </c>
      <c r="R16" s="821"/>
      <c r="S16" s="808">
        <f>R16*$F16</f>
        <v>0</v>
      </c>
      <c r="T16" s="821"/>
      <c r="U16" s="808">
        <f>T16*$F16</f>
        <v>0</v>
      </c>
      <c r="V16" s="821"/>
      <c r="W16" s="808">
        <f>V16*$F16</f>
        <v>0</v>
      </c>
      <c r="X16" s="821"/>
      <c r="Y16" s="808">
        <f>X16*$F16</f>
        <v>0</v>
      </c>
      <c r="Z16" s="821"/>
      <c r="AA16" s="808">
        <f>Z16*$F16</f>
        <v>0</v>
      </c>
      <c r="AB16" s="821"/>
      <c r="AC16" s="808">
        <f>AB16*$F16</f>
        <v>0</v>
      </c>
      <c r="AD16" s="821"/>
      <c r="AE16" s="808">
        <f>AD16*$F16</f>
        <v>0</v>
      </c>
      <c r="AF16" s="819">
        <f>SUM(H16,J16,L16,N16,P16,R16,T16,V16,X16,Z16,AB16,AD16)</f>
        <v>3</v>
      </c>
      <c r="AG16" s="808">
        <f>AF16*$F16</f>
        <v>2145</v>
      </c>
      <c r="AH16" s="820">
        <f>D16-AF16</f>
        <v>0</v>
      </c>
      <c r="AI16" s="808">
        <f>AH16*$F16</f>
        <v>0</v>
      </c>
    </row>
    <row r="17" spans="1:35" s="799" customFormat="1" ht="13.8">
      <c r="A17" s="813" t="s">
        <v>27</v>
      </c>
      <c r="B17" s="814" t="s">
        <v>976</v>
      </c>
      <c r="C17" s="815" t="s">
        <v>977</v>
      </c>
      <c r="D17" s="816">
        <v>1</v>
      </c>
      <c r="E17" s="817">
        <v>7907.80</v>
      </c>
      <c r="F17" s="817">
        <v>10300</v>
      </c>
      <c r="G17" s="817">
        <v>10300</v>
      </c>
      <c r="H17" s="821">
        <v>0.20</v>
      </c>
      <c r="I17" s="808">
        <f t="shared" si="0"/>
        <v>2060</v>
      </c>
      <c r="J17" s="821">
        <v>0.20</v>
      </c>
      <c r="K17" s="808">
        <f t="shared" si="0"/>
        <v>2060</v>
      </c>
      <c r="L17" s="821">
        <v>0.20</v>
      </c>
      <c r="M17" s="808">
        <f>L17*$F17</f>
        <v>2060</v>
      </c>
      <c r="N17" s="821"/>
      <c r="O17" s="808">
        <f>N17*$F17</f>
        <v>0</v>
      </c>
      <c r="P17" s="821"/>
      <c r="Q17" s="808">
        <f>P17*$F17</f>
        <v>0</v>
      </c>
      <c r="R17" s="821"/>
      <c r="S17" s="808">
        <f>R17*$F17</f>
        <v>0</v>
      </c>
      <c r="T17" s="821"/>
      <c r="U17" s="808">
        <f>T17*$F17</f>
        <v>0</v>
      </c>
      <c r="V17" s="821"/>
      <c r="W17" s="808">
        <f>V17*$F17</f>
        <v>0</v>
      </c>
      <c r="X17" s="821"/>
      <c r="Y17" s="808">
        <f>X17*$F17</f>
        <v>0</v>
      </c>
      <c r="Z17" s="821"/>
      <c r="AA17" s="808">
        <f>Z17*$F17</f>
        <v>0</v>
      </c>
      <c r="AB17" s="821"/>
      <c r="AC17" s="808">
        <f>AB17*$F17</f>
        <v>0</v>
      </c>
      <c r="AD17" s="821"/>
      <c r="AE17" s="808">
        <f>AD17*$F17</f>
        <v>0</v>
      </c>
      <c r="AF17" s="819">
        <f>SUM(H17,J17,L17,N17,P17,R17,T17,V17,X17,Z17,AB17,AD17)</f>
        <v>0.59999999999999998</v>
      </c>
      <c r="AG17" s="808">
        <f>AF17*$F17</f>
        <v>6180</v>
      </c>
      <c r="AH17" s="820">
        <f>D17-AF17</f>
        <v>0.40000000000000002</v>
      </c>
      <c r="AI17" s="808">
        <f>AH17*$F17</f>
        <v>4120</v>
      </c>
    </row>
    <row r="18" spans="1:35" s="799" customFormat="1" ht="13.8">
      <c r="A18" s="813"/>
      <c r="B18" s="813"/>
      <c r="C18" s="815"/>
      <c r="D18" s="816"/>
      <c r="E18" s="817"/>
      <c r="F18" s="817"/>
      <c r="G18" s="817"/>
      <c r="H18" s="821"/>
      <c r="I18" s="822"/>
      <c r="J18" s="821"/>
      <c r="K18" s="822"/>
      <c r="L18" s="821"/>
      <c r="M18" s="822"/>
      <c r="N18" s="821"/>
      <c r="O18" s="822"/>
      <c r="P18" s="821"/>
      <c r="Q18" s="822"/>
      <c r="R18" s="821"/>
      <c r="S18" s="822"/>
      <c r="T18" s="821"/>
      <c r="U18" s="822"/>
      <c r="V18" s="821"/>
      <c r="W18" s="822"/>
      <c r="X18" s="821"/>
      <c r="Y18" s="822"/>
      <c r="Z18" s="821"/>
      <c r="AA18" s="822"/>
      <c r="AB18" s="821"/>
      <c r="AC18" s="822"/>
      <c r="AD18" s="821"/>
      <c r="AE18" s="822"/>
      <c r="AF18" s="815"/>
      <c r="AG18" s="822"/>
      <c r="AH18" s="815"/>
      <c r="AI18" s="822"/>
    </row>
    <row r="19" spans="1:35" ht="13.8">
      <c r="A19" s="809">
        <v>2</v>
      </c>
      <c r="B19" s="810" t="s">
        <v>42</v>
      </c>
      <c r="C19" s="811"/>
      <c r="D19" s="811"/>
      <c r="E19" s="805"/>
      <c r="F19" s="812" t="s">
        <v>972</v>
      </c>
      <c r="G19" s="823">
        <v>298407.30</v>
      </c>
      <c r="H19" s="818"/>
      <c r="I19" s="808"/>
      <c r="J19" s="818"/>
      <c r="K19" s="808"/>
      <c r="L19" s="818"/>
      <c r="M19" s="808"/>
      <c r="N19" s="818"/>
      <c r="O19" s="808"/>
      <c r="P19" s="818"/>
      <c r="Q19" s="808"/>
      <c r="R19" s="818"/>
      <c r="S19" s="808"/>
      <c r="T19" s="818"/>
      <c r="U19" s="808"/>
      <c r="V19" s="818"/>
      <c r="W19" s="808"/>
      <c r="X19" s="818"/>
      <c r="Y19" s="808"/>
      <c r="Z19" s="818"/>
      <c r="AA19" s="808"/>
      <c r="AB19" s="818"/>
      <c r="AC19" s="808"/>
      <c r="AD19" s="818"/>
      <c r="AE19" s="808"/>
      <c r="AF19" s="807"/>
      <c r="AG19" s="808"/>
      <c r="AH19" s="807"/>
      <c r="AI19" s="808"/>
    </row>
    <row r="20" spans="1:35" ht="13.8">
      <c r="A20" s="813" t="s">
        <v>32</v>
      </c>
      <c r="B20" s="814" t="s">
        <v>978</v>
      </c>
      <c r="C20" s="815" t="s">
        <v>29</v>
      </c>
      <c r="D20" s="816">
        <v>500</v>
      </c>
      <c r="E20" s="817">
        <v>46.04</v>
      </c>
      <c r="F20" s="817">
        <v>60</v>
      </c>
      <c r="G20" s="817">
        <v>30000</v>
      </c>
      <c r="H20" s="818">
        <v>120</v>
      </c>
      <c r="I20" s="808">
        <f t="shared" si="1" ref="I20:K24">H20*$F20</f>
        <v>7200</v>
      </c>
      <c r="J20" s="818">
        <v>150</v>
      </c>
      <c r="K20" s="808">
        <f t="shared" si="1"/>
        <v>9000</v>
      </c>
      <c r="L20" s="818">
        <v>100</v>
      </c>
      <c r="M20" s="808">
        <f>L20*$F20</f>
        <v>6000</v>
      </c>
      <c r="N20" s="818"/>
      <c r="O20" s="808">
        <f>N20*$F20</f>
        <v>0</v>
      </c>
      <c r="P20" s="818"/>
      <c r="Q20" s="808">
        <f>P20*$F20</f>
        <v>0</v>
      </c>
      <c r="R20" s="818"/>
      <c r="S20" s="808">
        <f>R20*$F20</f>
        <v>0</v>
      </c>
      <c r="T20" s="818"/>
      <c r="U20" s="808">
        <f>T20*$F20</f>
        <v>0</v>
      </c>
      <c r="V20" s="818"/>
      <c r="W20" s="808">
        <f>V20*$F20</f>
        <v>0</v>
      </c>
      <c r="X20" s="818"/>
      <c r="Y20" s="808">
        <f>X20*$F20</f>
        <v>0</v>
      </c>
      <c r="Z20" s="818"/>
      <c r="AA20" s="808">
        <f>Z20*$F20</f>
        <v>0</v>
      </c>
      <c r="AB20" s="818"/>
      <c r="AC20" s="808">
        <f>AB20*$F20</f>
        <v>0</v>
      </c>
      <c r="AD20" s="818"/>
      <c r="AE20" s="808">
        <f>AD20*$F20</f>
        <v>0</v>
      </c>
      <c r="AF20" s="819">
        <f>SUM(H20,J20,L20,N20,P20,R20,T20,V20,X20,Z20,AB20,AD20)</f>
        <v>370</v>
      </c>
      <c r="AG20" s="808">
        <f>AF20*$F20</f>
        <v>22200</v>
      </c>
      <c r="AH20" s="820">
        <f>D20-AF20</f>
        <v>130</v>
      </c>
      <c r="AI20" s="808">
        <f>AH20*$F20</f>
        <v>7800</v>
      </c>
    </row>
    <row r="21" spans="1:35" ht="13.8">
      <c r="A21" s="813" t="s">
        <v>35</v>
      </c>
      <c r="B21" s="814" t="s">
        <v>979</v>
      </c>
      <c r="C21" s="815" t="s">
        <v>29</v>
      </c>
      <c r="D21" s="816">
        <v>500</v>
      </c>
      <c r="E21" s="817">
        <v>47.44</v>
      </c>
      <c r="F21" s="817">
        <v>60</v>
      </c>
      <c r="G21" s="817">
        <v>30000</v>
      </c>
      <c r="H21" s="818">
        <v>120</v>
      </c>
      <c r="I21" s="808">
        <f t="shared" si="1"/>
        <v>7200</v>
      </c>
      <c r="J21" s="818">
        <v>150</v>
      </c>
      <c r="K21" s="808">
        <f t="shared" si="1"/>
        <v>9000</v>
      </c>
      <c r="L21" s="818">
        <v>100</v>
      </c>
      <c r="M21" s="808">
        <f>L21*$F21</f>
        <v>6000</v>
      </c>
      <c r="N21" s="818"/>
      <c r="O21" s="808">
        <f>N21*$F21</f>
        <v>0</v>
      </c>
      <c r="P21" s="818"/>
      <c r="Q21" s="808">
        <f>P21*$F21</f>
        <v>0</v>
      </c>
      <c r="R21" s="818"/>
      <c r="S21" s="808">
        <f>R21*$F21</f>
        <v>0</v>
      </c>
      <c r="T21" s="818"/>
      <c r="U21" s="808">
        <f>T21*$F21</f>
        <v>0</v>
      </c>
      <c r="V21" s="818"/>
      <c r="W21" s="808">
        <f>V21*$F21</f>
        <v>0</v>
      </c>
      <c r="X21" s="818"/>
      <c r="Y21" s="808">
        <f>X21*$F21</f>
        <v>0</v>
      </c>
      <c r="Z21" s="818"/>
      <c r="AA21" s="808">
        <f>Z21*$F21</f>
        <v>0</v>
      </c>
      <c r="AB21" s="818"/>
      <c r="AC21" s="808">
        <f>AB21*$F21</f>
        <v>0</v>
      </c>
      <c r="AD21" s="818"/>
      <c r="AE21" s="808">
        <f>AD21*$F21</f>
        <v>0</v>
      </c>
      <c r="AF21" s="819">
        <f>SUM(H21,J21,L21,N21,P21,R21,T21,V21,X21,Z21,AB21,AD21)</f>
        <v>370</v>
      </c>
      <c r="AG21" s="808">
        <f>AF21*$F21</f>
        <v>22200</v>
      </c>
      <c r="AH21" s="820">
        <f>D21-AF21</f>
        <v>130</v>
      </c>
      <c r="AI21" s="808">
        <f>AH21*$F21</f>
        <v>7800</v>
      </c>
    </row>
    <row r="22" spans="1:35" ht="13.8">
      <c r="A22" s="813" t="s">
        <v>337</v>
      </c>
      <c r="B22" s="814" t="s">
        <v>980</v>
      </c>
      <c r="C22" s="815" t="s">
        <v>974</v>
      </c>
      <c r="D22" s="816">
        <v>400</v>
      </c>
      <c r="E22" s="817">
        <v>91.03</v>
      </c>
      <c r="F22" s="817">
        <v>115</v>
      </c>
      <c r="G22" s="817">
        <v>46000</v>
      </c>
      <c r="H22" s="818">
        <v>60</v>
      </c>
      <c r="I22" s="808">
        <f t="shared" si="1"/>
        <v>6900</v>
      </c>
      <c r="J22" s="818">
        <v>150</v>
      </c>
      <c r="K22" s="808">
        <f t="shared" si="1"/>
        <v>17250</v>
      </c>
      <c r="L22" s="818">
        <v>50</v>
      </c>
      <c r="M22" s="808">
        <f>L22*$F22</f>
        <v>5750</v>
      </c>
      <c r="N22" s="818"/>
      <c r="O22" s="808">
        <f>N22*$F22</f>
        <v>0</v>
      </c>
      <c r="P22" s="818"/>
      <c r="Q22" s="808">
        <f>P22*$F22</f>
        <v>0</v>
      </c>
      <c r="R22" s="818"/>
      <c r="S22" s="808">
        <f>R22*$F22</f>
        <v>0</v>
      </c>
      <c r="T22" s="818"/>
      <c r="U22" s="808">
        <f>T22*$F22</f>
        <v>0</v>
      </c>
      <c r="V22" s="818"/>
      <c r="W22" s="808">
        <f>V22*$F22</f>
        <v>0</v>
      </c>
      <c r="X22" s="818"/>
      <c r="Y22" s="808">
        <f>X22*$F22</f>
        <v>0</v>
      </c>
      <c r="Z22" s="818"/>
      <c r="AA22" s="808">
        <f>Z22*$F22</f>
        <v>0</v>
      </c>
      <c r="AB22" s="818"/>
      <c r="AC22" s="808">
        <f>AB22*$F22</f>
        <v>0</v>
      </c>
      <c r="AD22" s="818"/>
      <c r="AE22" s="808">
        <f>AD22*$F22</f>
        <v>0</v>
      </c>
      <c r="AF22" s="819">
        <f>SUM(H22,J22,L22,N22,P22,R22,T22,V22,X22,Z22,AB22,AD22)</f>
        <v>260</v>
      </c>
      <c r="AG22" s="808">
        <f>AF22*$F22</f>
        <v>29900</v>
      </c>
      <c r="AH22" s="820">
        <f>D22-AF22</f>
        <v>140</v>
      </c>
      <c r="AI22" s="808">
        <f>AH22*$F22</f>
        <v>16100</v>
      </c>
    </row>
    <row r="23" spans="1:35" ht="13.8">
      <c r="A23" s="813" t="s">
        <v>339</v>
      </c>
      <c r="B23" s="814" t="s">
        <v>981</v>
      </c>
      <c r="C23" s="815" t="s">
        <v>974</v>
      </c>
      <c r="D23" s="816">
        <v>1350</v>
      </c>
      <c r="E23" s="817">
        <v>97.5</v>
      </c>
      <c r="F23" s="817">
        <v>127</v>
      </c>
      <c r="G23" s="817">
        <v>171450</v>
      </c>
      <c r="H23" s="818">
        <v>139</v>
      </c>
      <c r="I23" s="808">
        <f t="shared" si="1"/>
        <v>17653</v>
      </c>
      <c r="J23" s="818">
        <v>201</v>
      </c>
      <c r="K23" s="808">
        <f t="shared" si="1"/>
        <v>25527</v>
      </c>
      <c r="L23" s="818">
        <v>350</v>
      </c>
      <c r="M23" s="808">
        <f>L23*$F23</f>
        <v>44450</v>
      </c>
      <c r="N23" s="818"/>
      <c r="O23" s="808">
        <f>N23*$F23</f>
        <v>0</v>
      </c>
      <c r="P23" s="818"/>
      <c r="Q23" s="808">
        <f>P23*$F23</f>
        <v>0</v>
      </c>
      <c r="R23" s="818"/>
      <c r="S23" s="808">
        <f>R23*$F23</f>
        <v>0</v>
      </c>
      <c r="T23" s="818"/>
      <c r="U23" s="808">
        <f>T23*$F23</f>
        <v>0</v>
      </c>
      <c r="V23" s="818"/>
      <c r="W23" s="808">
        <f>V23*$F23</f>
        <v>0</v>
      </c>
      <c r="X23" s="818"/>
      <c r="Y23" s="808">
        <f>X23*$F23</f>
        <v>0</v>
      </c>
      <c r="Z23" s="818"/>
      <c r="AA23" s="808">
        <f>Z23*$F23</f>
        <v>0</v>
      </c>
      <c r="AB23" s="818"/>
      <c r="AC23" s="808">
        <f>AB23*$F23</f>
        <v>0</v>
      </c>
      <c r="AD23" s="818"/>
      <c r="AE23" s="808">
        <f>AD23*$F23</f>
        <v>0</v>
      </c>
      <c r="AF23" s="819">
        <f>SUM(H23,J23,L23,N23,P23,R23,T23,V23,X23,Z23,AB23,AD23)</f>
        <v>690</v>
      </c>
      <c r="AG23" s="808">
        <f>AF23*$F23</f>
        <v>87630</v>
      </c>
      <c r="AH23" s="820">
        <f>D23-AF23</f>
        <v>660</v>
      </c>
      <c r="AI23" s="808">
        <f>AH23*$F23</f>
        <v>83820</v>
      </c>
    </row>
    <row r="24" spans="1:35" ht="13.8">
      <c r="A24" s="813" t="s">
        <v>982</v>
      </c>
      <c r="B24" s="814" t="s">
        <v>983</v>
      </c>
      <c r="C24" s="815" t="s">
        <v>984</v>
      </c>
      <c r="D24" s="816">
        <v>17.149999999999999</v>
      </c>
      <c r="E24" s="817">
        <v>932.49</v>
      </c>
      <c r="F24" s="817">
        <v>1222</v>
      </c>
      <c r="G24" s="817">
        <v>20957.30</v>
      </c>
      <c r="H24" s="818">
        <v>4.5</v>
      </c>
      <c r="I24" s="808">
        <f t="shared" si="1"/>
        <v>5499</v>
      </c>
      <c r="J24" s="818"/>
      <c r="K24" s="808">
        <f t="shared" si="1"/>
        <v>0</v>
      </c>
      <c r="L24" s="818">
        <v>1</v>
      </c>
      <c r="M24" s="808">
        <f>L24*$F24</f>
        <v>1222</v>
      </c>
      <c r="N24" s="818"/>
      <c r="O24" s="808">
        <f>N24*$F24</f>
        <v>0</v>
      </c>
      <c r="P24" s="818"/>
      <c r="Q24" s="808">
        <f>P24*$F24</f>
        <v>0</v>
      </c>
      <c r="R24" s="818"/>
      <c r="S24" s="808">
        <f>R24*$F24</f>
        <v>0</v>
      </c>
      <c r="T24" s="818"/>
      <c r="U24" s="808">
        <f>T24*$F24</f>
        <v>0</v>
      </c>
      <c r="V24" s="818"/>
      <c r="W24" s="808">
        <f>V24*$F24</f>
        <v>0</v>
      </c>
      <c r="X24" s="818"/>
      <c r="Y24" s="808">
        <f>X24*$F24</f>
        <v>0</v>
      </c>
      <c r="Z24" s="818"/>
      <c r="AA24" s="808">
        <f>Z24*$F24</f>
        <v>0</v>
      </c>
      <c r="AB24" s="818"/>
      <c r="AC24" s="808">
        <f>AB24*$F24</f>
        <v>0</v>
      </c>
      <c r="AD24" s="818"/>
      <c r="AE24" s="808">
        <f>AD24*$F24</f>
        <v>0</v>
      </c>
      <c r="AF24" s="819">
        <f>SUM(H24,J24,L24,N24,P24,R24,T24,V24,X24,Z24,AB24,AD24)</f>
        <v>5.5</v>
      </c>
      <c r="AG24" s="808">
        <f>AF24*$F24</f>
        <v>6721</v>
      </c>
      <c r="AH24" s="820">
        <f>D24-AF24</f>
        <v>11.65</v>
      </c>
      <c r="AI24" s="808">
        <f>AH24*$F24</f>
        <v>14236.299999999999</v>
      </c>
    </row>
    <row r="25" spans="1:35" ht="13.8">
      <c r="A25" s="813"/>
      <c r="B25" s="813"/>
      <c r="C25" s="815"/>
      <c r="D25" s="816"/>
      <c r="E25" s="817"/>
      <c r="F25" s="817"/>
      <c r="G25" s="817"/>
      <c r="H25" s="818"/>
      <c r="I25" s="808"/>
      <c r="J25" s="818"/>
      <c r="K25" s="808"/>
      <c r="L25" s="818"/>
      <c r="M25" s="808"/>
      <c r="N25" s="818"/>
      <c r="O25" s="808"/>
      <c r="P25" s="818"/>
      <c r="Q25" s="808"/>
      <c r="R25" s="818"/>
      <c r="S25" s="808"/>
      <c r="T25" s="818"/>
      <c r="U25" s="808"/>
      <c r="V25" s="818"/>
      <c r="W25" s="808"/>
      <c r="X25" s="818"/>
      <c r="Y25" s="808"/>
      <c r="Z25" s="818"/>
      <c r="AA25" s="808"/>
      <c r="AB25" s="818"/>
      <c r="AC25" s="808"/>
      <c r="AD25" s="818"/>
      <c r="AE25" s="808"/>
      <c r="AF25" s="807"/>
      <c r="AG25" s="808"/>
      <c r="AH25" s="807"/>
      <c r="AI25" s="808"/>
    </row>
    <row r="26" spans="1:35" ht="13.8">
      <c r="A26" s="809">
        <v>3</v>
      </c>
      <c r="B26" s="810" t="s">
        <v>985</v>
      </c>
      <c r="C26" s="811"/>
      <c r="D26" s="811"/>
      <c r="E26" s="805"/>
      <c r="F26" s="812" t="s">
        <v>972</v>
      </c>
      <c r="G26" s="823">
        <v>2593.5</v>
      </c>
      <c r="H26" s="818"/>
      <c r="I26" s="808"/>
      <c r="J26" s="818"/>
      <c r="K26" s="808"/>
      <c r="L26" s="818"/>
      <c r="M26" s="808"/>
      <c r="N26" s="818"/>
      <c r="O26" s="808"/>
      <c r="P26" s="818"/>
      <c r="Q26" s="808"/>
      <c r="R26" s="818"/>
      <c r="S26" s="808"/>
      <c r="T26" s="818"/>
      <c r="U26" s="808"/>
      <c r="V26" s="818"/>
      <c r="W26" s="808"/>
      <c r="X26" s="818"/>
      <c r="Y26" s="808"/>
      <c r="Z26" s="818"/>
      <c r="AA26" s="808"/>
      <c r="AB26" s="818"/>
      <c r="AC26" s="808"/>
      <c r="AD26" s="818"/>
      <c r="AE26" s="808"/>
      <c r="AF26" s="807"/>
      <c r="AG26" s="808"/>
      <c r="AH26" s="807"/>
      <c r="AI26" s="808"/>
    </row>
    <row r="27" spans="1:35" ht="13.8">
      <c r="A27" s="813" t="s">
        <v>39</v>
      </c>
      <c r="B27" s="814" t="s">
        <v>986</v>
      </c>
      <c r="C27" s="815" t="s">
        <v>24</v>
      </c>
      <c r="D27" s="816">
        <v>1995</v>
      </c>
      <c r="E27" s="817">
        <v>1.03</v>
      </c>
      <c r="F27" s="817">
        <v>1.30</v>
      </c>
      <c r="G27" s="817">
        <v>2593.5</v>
      </c>
      <c r="H27" s="818"/>
      <c r="I27" s="808">
        <f>H27*$F27</f>
        <v>0</v>
      </c>
      <c r="J27" s="818"/>
      <c r="K27" s="808">
        <f>J27*$F27</f>
        <v>0</v>
      </c>
      <c r="L27" s="818"/>
      <c r="M27" s="808">
        <f>L27*$F27</f>
        <v>0</v>
      </c>
      <c r="N27" s="818"/>
      <c r="O27" s="808">
        <f>N27*$F27</f>
        <v>0</v>
      </c>
      <c r="P27" s="818"/>
      <c r="Q27" s="808">
        <f>P27*$F27</f>
        <v>0</v>
      </c>
      <c r="R27" s="818"/>
      <c r="S27" s="808">
        <f>R27*$F27</f>
        <v>0</v>
      </c>
      <c r="T27" s="818"/>
      <c r="U27" s="808">
        <f>T27*$F27</f>
        <v>0</v>
      </c>
      <c r="V27" s="818"/>
      <c r="W27" s="808">
        <f>V27*$F27</f>
        <v>0</v>
      </c>
      <c r="X27" s="818"/>
      <c r="Y27" s="808">
        <f>X27*$F27</f>
        <v>0</v>
      </c>
      <c r="Z27" s="818"/>
      <c r="AA27" s="808">
        <f>Z27*$F27</f>
        <v>0</v>
      </c>
      <c r="AB27" s="818"/>
      <c r="AC27" s="808">
        <f>AB27*$F27</f>
        <v>0</v>
      </c>
      <c r="AD27" s="818"/>
      <c r="AE27" s="808">
        <f>AD27*$F27</f>
        <v>0</v>
      </c>
      <c r="AF27" s="819">
        <f>SUM(H27,J27,L27,N27,P27,R27,T27,V27,X27,Z27,AB27,AD27)</f>
        <v>0</v>
      </c>
      <c r="AG27" s="808">
        <f>AF27*$F27</f>
        <v>0</v>
      </c>
      <c r="AH27" s="820">
        <f>D27-AF27</f>
        <v>1995</v>
      </c>
      <c r="AI27" s="808">
        <f>AH27*$F27</f>
        <v>2593.5</v>
      </c>
    </row>
    <row r="28" spans="1:35" ht="13.8">
      <c r="A28" s="807"/>
      <c r="B28" s="807"/>
      <c r="C28" s="807"/>
      <c r="D28" s="807"/>
      <c r="E28" s="807"/>
      <c r="F28" s="807"/>
      <c r="G28" s="807"/>
      <c r="H28" s="824"/>
      <c r="I28" s="808"/>
      <c r="J28" s="807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807"/>
      <c r="AB28" s="807"/>
      <c r="AC28" s="807"/>
      <c r="AD28" s="807"/>
      <c r="AE28" s="807"/>
      <c r="AF28" s="807"/>
      <c r="AG28" s="807"/>
      <c r="AH28" s="807"/>
      <c r="AI28" s="807"/>
    </row>
    <row r="29" spans="1:35" ht="13.8">
      <c r="A29" s="804"/>
      <c r="B29" s="804"/>
      <c r="C29" s="804"/>
      <c r="D29" s="804"/>
      <c r="E29" s="804"/>
      <c r="F29" s="825" t="s">
        <v>48</v>
      </c>
      <c r="G29" s="806">
        <f>G14+G19+G26</f>
        <v>323705.79999999999</v>
      </c>
      <c r="H29" s="825" t="s">
        <v>48</v>
      </c>
      <c r="I29" s="806">
        <f>SUM(I15:I27)</f>
        <v>53217</v>
      </c>
      <c r="J29" s="825" t="s">
        <v>48</v>
      </c>
      <c r="K29" s="806">
        <f>SUM(K15:K27)</f>
        <v>63977</v>
      </c>
      <c r="L29" s="825" t="s">
        <v>48</v>
      </c>
      <c r="M29" s="806">
        <f>SUM(M15:M27)</f>
        <v>66622</v>
      </c>
      <c r="N29" s="825" t="s">
        <v>48</v>
      </c>
      <c r="O29" s="806">
        <f>SUM(O15:O27)</f>
        <v>0</v>
      </c>
      <c r="P29" s="825" t="s">
        <v>48</v>
      </c>
      <c r="Q29" s="806">
        <f>SUM(Q15:Q27)</f>
        <v>0</v>
      </c>
      <c r="R29" s="825" t="s">
        <v>48</v>
      </c>
      <c r="S29" s="806">
        <f>SUM(S15:S27)</f>
        <v>0</v>
      </c>
      <c r="T29" s="825" t="s">
        <v>48</v>
      </c>
      <c r="U29" s="806">
        <f>SUM(U15:U27)</f>
        <v>0</v>
      </c>
      <c r="V29" s="825" t="s">
        <v>48</v>
      </c>
      <c r="W29" s="806">
        <f>SUM(W15:W27)</f>
        <v>0</v>
      </c>
      <c r="X29" s="825" t="s">
        <v>48</v>
      </c>
      <c r="Y29" s="806">
        <f>SUM(Y15:Y27)</f>
        <v>0</v>
      </c>
      <c r="Z29" s="825" t="s">
        <v>48</v>
      </c>
      <c r="AA29" s="806">
        <f>SUM(AA15:AA27)</f>
        <v>0</v>
      </c>
      <c r="AB29" s="825" t="s">
        <v>48</v>
      </c>
      <c r="AC29" s="806">
        <f>SUM(AC15:AC27)</f>
        <v>0</v>
      </c>
      <c r="AD29" s="825" t="s">
        <v>48</v>
      </c>
      <c r="AE29" s="806">
        <f>SUM(AE15:AE27)</f>
        <v>0</v>
      </c>
      <c r="AF29" s="825" t="s">
        <v>48</v>
      </c>
      <c r="AG29" s="806">
        <f>SUM(AG15:AG27)</f>
        <v>183816</v>
      </c>
      <c r="AH29" s="825" t="s">
        <v>48</v>
      </c>
      <c r="AI29" s="806">
        <f>SUM(AI15:AI27)</f>
        <v>139889.79999999999</v>
      </c>
    </row>
    <row r="30" spans="1:7" ht="13.8">
      <c r="A30" s="778"/>
      <c r="B30" s="778"/>
      <c r="C30" s="778"/>
      <c r="D30" s="778"/>
      <c r="E30" s="778"/>
      <c r="F30" s="778"/>
      <c r="G30" s="778"/>
    </row>
    <row r="31" spans="1:35" ht="13.8" customHeight="1">
      <c r="A31" s="826" t="s">
        <v>987</v>
      </c>
      <c r="B31" s="826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6"/>
      <c r="Y31" s="826"/>
      <c r="Z31" s="826"/>
      <c r="AA31" s="826"/>
      <c r="AB31" s="826"/>
      <c r="AC31" s="826"/>
      <c r="AD31" s="826"/>
      <c r="AE31" s="826"/>
      <c r="AF31" s="826"/>
      <c r="AG31" s="826"/>
      <c r="AH31" s="826"/>
      <c r="AI31" s="826"/>
    </row>
    <row r="32" spans="1:35" ht="13.8">
      <c r="A32" s="826"/>
      <c r="B32" s="826"/>
      <c r="C32" s="826"/>
      <c r="D32" s="826"/>
      <c r="E32" s="826"/>
      <c r="F32" s="826"/>
      <c r="G32" s="826"/>
      <c r="H32" s="826"/>
      <c r="I32" s="826"/>
      <c r="J32" s="826"/>
      <c r="K32" s="826"/>
      <c r="L32" s="826"/>
      <c r="M32" s="826"/>
      <c r="N32" s="826"/>
      <c r="O32" s="826"/>
      <c r="P32" s="826"/>
      <c r="Q32" s="826"/>
      <c r="R32" s="826"/>
      <c r="S32" s="826"/>
      <c r="T32" s="826"/>
      <c r="U32" s="826"/>
      <c r="V32" s="826"/>
      <c r="W32" s="826"/>
      <c r="X32" s="826"/>
      <c r="Y32" s="826"/>
      <c r="Z32" s="826"/>
      <c r="AA32" s="826"/>
      <c r="AB32" s="826"/>
      <c r="AC32" s="826"/>
      <c r="AD32" s="826"/>
      <c r="AE32" s="826"/>
      <c r="AF32" s="826"/>
      <c r="AG32" s="826"/>
      <c r="AH32" s="826"/>
      <c r="AI32" s="826"/>
    </row>
    <row r="33" spans="9:47" ht="12.75" customHeight="1">
      <c r="I33" s="793"/>
      <c r="AJ33" s="827"/>
      <c r="AK33" s="827"/>
      <c r="AL33" s="827"/>
      <c r="AM33" s="827"/>
      <c r="AN33" s="827"/>
      <c r="AO33" s="827"/>
      <c r="AP33" s="827"/>
      <c r="AQ33" s="827"/>
      <c r="AR33" s="827"/>
      <c r="AS33" s="827"/>
      <c r="AT33" s="827"/>
      <c r="AU33" s="827"/>
    </row>
    <row r="34" spans="1:47" ht="13.8">
      <c r="A34" s="778" t="s">
        <v>50</v>
      </c>
      <c r="I34" s="793"/>
      <c r="AJ34" s="827"/>
      <c r="AK34" s="827"/>
      <c r="AL34" s="827"/>
      <c r="AM34" s="827"/>
      <c r="AN34" s="827"/>
      <c r="AO34" s="827"/>
      <c r="AP34" s="827"/>
      <c r="AQ34" s="827"/>
      <c r="AR34" s="827"/>
      <c r="AS34" s="827"/>
      <c r="AT34" s="827"/>
      <c r="AU34" s="827"/>
    </row>
    <row r="35" spans="1:1" ht="13.8">
      <c r="A35" s="778" t="s">
        <v>988</v>
      </c>
    </row>
    <row r="36" spans="1:7" ht="13.8">
      <c r="A36" s="778" t="s">
        <v>989</v>
      </c>
      <c r="C36" s="793"/>
      <c r="D36" s="828"/>
      <c r="E36" s="829"/>
      <c r="F36" s="829"/>
      <c r="G36" s="829"/>
    </row>
    <row r="37" spans="3:7" ht="13.8">
      <c r="C37" s="793"/>
      <c r="D37" s="828"/>
      <c r="E37" s="829"/>
      <c r="F37" s="829"/>
      <c r="G37" s="829"/>
    </row>
    <row r="38" spans="3:7" ht="13.8">
      <c r="C38" s="793"/>
      <c r="D38" s="828"/>
      <c r="E38" s="829"/>
      <c r="F38" s="829"/>
      <c r="G38" s="829"/>
    </row>
  </sheetData>
  <sheetProtection/>
  <mergeCells count="25">
    <mergeCell ref="H10:I10"/>
    <mergeCell ref="J10:K10"/>
    <mergeCell ref="AH10:AI11"/>
    <mergeCell ref="L10:M10"/>
    <mergeCell ref="N10:O10"/>
    <mergeCell ref="P10:Q10"/>
    <mergeCell ref="R10:S10"/>
    <mergeCell ref="T10:U10"/>
    <mergeCell ref="AF10:AG11"/>
    <mergeCell ref="A10:A12"/>
    <mergeCell ref="B10:B12"/>
    <mergeCell ref="C10:C12"/>
    <mergeCell ref="D10:D12"/>
    <mergeCell ref="A30:G30"/>
    <mergeCell ref="E10:G11"/>
    <mergeCell ref="A31:AI32"/>
    <mergeCell ref="A8:AI8"/>
    <mergeCell ref="AH2:AI2"/>
    <mergeCell ref="A3:F4"/>
    <mergeCell ref="AH3:AI4"/>
    <mergeCell ref="V10:W10"/>
    <mergeCell ref="X10:Y10"/>
    <mergeCell ref="Z10:AA10"/>
    <mergeCell ref="AB10:AC10"/>
    <mergeCell ref="AD10:AE10"/>
  </mergeCells>
  <printOptions horizontalCentered="1"/>
  <pageMargins left="0.5118110236220472" right="0.5118110236220472" top="0.5118110236220472" bottom="0.5118110236220472" header="0.5118110236220472" footer="0.5118110236220472"/>
  <pageSetup fitToHeight="0" horizontalDpi="360" verticalDpi="360" orientation="landscape" paperSize="9" scale="69" r:id="rId2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8b3c230-8a13-4ac8-a231-e4040a53f662}">
  <sheetPr>
    <pageSetUpPr fitToPage="1"/>
  </sheetPr>
  <dimension ref="A1:AU38"/>
  <sheetViews>
    <sheetView showGridLines="0" view="pageBreakPreview" zoomScale="98" zoomScaleNormal="75" zoomScaleSheetLayoutView="98" workbookViewId="0" topLeftCell="A1">
      <selection pane="topLeft" activeCell="N4" sqref="G4:N4"/>
    </sheetView>
  </sheetViews>
  <sheetFormatPr defaultColWidth="9.112723214285714" defaultRowHeight="13.8" customHeight="1"/>
  <cols>
    <col min="1" max="1" width="8.571428571428571" style="779" customWidth="1"/>
    <col min="2" max="2" width="55.42857142857143" style="799" customWidth="1"/>
    <col min="3" max="3" width="7.571428571428571" style="830" bestFit="1" customWidth="1"/>
    <col min="4" max="4" width="7.857142857142857" style="831" bestFit="1" customWidth="1"/>
    <col min="5" max="5" width="15.714285714285714" style="832" customWidth="1"/>
    <col min="6" max="6" width="15.142857142857142" style="832" customWidth="1"/>
    <col min="7" max="7" width="14.428571428571429" style="832" customWidth="1"/>
    <col min="8" max="8" width="10.571428571428571" style="793" hidden="1" customWidth="1"/>
    <col min="9" max="9" width="14.428571428571429" style="829" hidden="1" customWidth="1"/>
    <col min="10" max="10" width="13.285714285714286" style="793" hidden="1" customWidth="1"/>
    <col min="11" max="11" width="14.142857142857142" style="793" hidden="1" customWidth="1"/>
    <col min="12" max="12" width="13.428571428571429" style="793" hidden="1" customWidth="1"/>
    <col min="13" max="13" width="13.714285714285714" style="793" hidden="1" customWidth="1"/>
    <col min="14" max="14" width="13" style="793" customWidth="1"/>
    <col min="15" max="15" width="14.142857142857142" style="793" customWidth="1"/>
    <col min="16" max="16" width="13.428571428571429" style="793" hidden="1" customWidth="1"/>
    <col min="17" max="17" width="12.714285714285714" style="793" hidden="1" customWidth="1"/>
    <col min="18" max="18" width="11.428571428571429" style="793" hidden="1" customWidth="1"/>
    <col min="19" max="19" width="13.714285714285714" style="793" hidden="1" customWidth="1"/>
    <col min="20" max="20" width="14.714285714285714" style="793" hidden="1" customWidth="1"/>
    <col min="21" max="21" width="19.571428571428573" style="793" hidden="1" customWidth="1"/>
    <col min="22" max="22" width="17.285714285714285" style="793" hidden="1" customWidth="1"/>
    <col min="23" max="23" width="18.142857142857142" style="793" hidden="1" customWidth="1"/>
    <col min="24" max="24" width="17.285714285714285" style="793" hidden="1" customWidth="1"/>
    <col min="25" max="25" width="13.285714285714286" style="793" hidden="1" customWidth="1"/>
    <col min="26" max="26" width="14.714285714285714" style="793" hidden="1" customWidth="1"/>
    <col min="27" max="27" width="13.714285714285714" style="793" hidden="1" customWidth="1"/>
    <col min="28" max="28" width="9.285714285714286" style="793" hidden="1" customWidth="1"/>
    <col min="29" max="29" width="12.428571428571429" style="793" hidden="1" customWidth="1"/>
    <col min="30" max="30" width="8.428571428571429" style="793" hidden="1" customWidth="1"/>
    <col min="31" max="31" width="11.142857142857142" style="793" hidden="1" customWidth="1"/>
    <col min="32" max="32" width="9.142857142857142" style="793"/>
    <col min="33" max="33" width="13.571428571428571" style="793" bestFit="1" customWidth="1"/>
    <col min="34" max="34" width="9.142857142857142" style="793"/>
    <col min="35" max="35" width="13.571428571428571" style="793" bestFit="1" customWidth="1"/>
    <col min="36" max="16384" width="9.142857142857142" style="793"/>
  </cols>
  <sheetData>
    <row r="1" spans="1:7" ht="13.8">
      <c r="A1" s="777" t="s">
        <v>0</v>
      </c>
      <c r="B1" s="777"/>
      <c r="C1" s="777"/>
      <c r="D1" s="777"/>
      <c r="E1" s="777"/>
      <c r="F1" s="777"/>
      <c r="G1" s="777"/>
    </row>
    <row r="2" spans="1:35" ht="12.75" customHeight="1">
      <c r="A2" s="778" t="s">
        <v>1</v>
      </c>
      <c r="B2" s="779"/>
      <c r="C2" s="780"/>
      <c r="D2" s="781"/>
      <c r="E2" s="782"/>
      <c r="F2" s="782"/>
      <c r="G2" s="782"/>
      <c r="AH2" s="783" t="s">
        <v>2</v>
      </c>
      <c r="AI2" s="783"/>
    </row>
    <row r="3" spans="1:35" ht="12.75" customHeight="1">
      <c r="A3" s="784" t="s">
        <v>963</v>
      </c>
      <c r="B3" s="784"/>
      <c r="C3" s="784"/>
      <c r="D3" s="784"/>
      <c r="E3" s="784"/>
      <c r="F3" s="784"/>
      <c r="G3" s="785"/>
      <c r="AH3" s="786">
        <v>4</v>
      </c>
      <c r="AI3" s="786"/>
    </row>
    <row r="4" spans="1:35" ht="12.75" customHeight="1">
      <c r="A4" s="784"/>
      <c r="B4" s="784"/>
      <c r="C4" s="784"/>
      <c r="D4" s="784"/>
      <c r="E4" s="784"/>
      <c r="F4" s="784"/>
      <c r="G4" s="785"/>
      <c r="AH4" s="786"/>
      <c r="AI4" s="786"/>
    </row>
    <row r="5" spans="1:35" ht="12.75" customHeight="1">
      <c r="A5" s="778" t="s">
        <v>964</v>
      </c>
      <c r="B5" s="787"/>
      <c r="C5" s="788"/>
      <c r="D5" s="789"/>
      <c r="E5" s="790"/>
      <c r="F5" s="790"/>
      <c r="G5" s="790"/>
      <c r="AH5" s="791" t="s">
        <v>965</v>
      </c>
      <c r="AI5" s="792">
        <v>45210</v>
      </c>
    </row>
    <row r="6" spans="1:35" ht="13.8">
      <c r="A6" s="778" t="s">
        <v>966</v>
      </c>
      <c r="B6" s="787"/>
      <c r="C6" s="788"/>
      <c r="D6" s="789"/>
      <c r="E6" s="790"/>
      <c r="F6" s="790"/>
      <c r="G6" s="790"/>
      <c r="AH6" s="791" t="s">
        <v>967</v>
      </c>
      <c r="AI6" s="792">
        <v>45217</v>
      </c>
    </row>
    <row r="7" spans="1:9" ht="13.8">
      <c r="A7" s="793"/>
      <c r="B7" s="787"/>
      <c r="C7" s="788"/>
      <c r="D7" s="789"/>
      <c r="E7" s="790"/>
      <c r="F7" s="790"/>
      <c r="G7" s="790"/>
      <c r="I7" s="793"/>
    </row>
    <row r="8" spans="1:35" ht="13.8">
      <c r="A8" s="794" t="s">
        <v>8</v>
      </c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4"/>
      <c r="AG8" s="794"/>
      <c r="AH8" s="794"/>
      <c r="AI8" s="794"/>
    </row>
    <row r="9" spans="1:7" ht="13.8">
      <c r="A9" s="795"/>
      <c r="B9" s="796"/>
      <c r="C9" s="796"/>
      <c r="D9" s="796"/>
      <c r="E9" s="797"/>
      <c r="F9" s="797"/>
      <c r="G9" s="797"/>
    </row>
    <row r="10" spans="1:35" ht="13.8">
      <c r="A10" s="798" t="s">
        <v>9</v>
      </c>
      <c r="B10" s="798" t="s">
        <v>10</v>
      </c>
      <c r="C10" s="798" t="s">
        <v>11</v>
      </c>
      <c r="D10" s="798" t="s">
        <v>12</v>
      </c>
      <c r="E10" s="798" t="s">
        <v>968</v>
      </c>
      <c r="F10" s="798"/>
      <c r="G10" s="798"/>
      <c r="H10" s="798" t="s">
        <v>15</v>
      </c>
      <c r="I10" s="798"/>
      <c r="J10" s="798" t="s">
        <v>15</v>
      </c>
      <c r="K10" s="798"/>
      <c r="L10" s="798" t="s">
        <v>15</v>
      </c>
      <c r="M10" s="798"/>
      <c r="N10" s="798" t="s">
        <v>15</v>
      </c>
      <c r="O10" s="798"/>
      <c r="P10" s="798" t="s">
        <v>15</v>
      </c>
      <c r="Q10" s="798"/>
      <c r="R10" s="798" t="s">
        <v>15</v>
      </c>
      <c r="S10" s="798"/>
      <c r="T10" s="798" t="s">
        <v>15</v>
      </c>
      <c r="U10" s="798"/>
      <c r="V10" s="798" t="s">
        <v>15</v>
      </c>
      <c r="W10" s="798"/>
      <c r="X10" s="798" t="s">
        <v>15</v>
      </c>
      <c r="Y10" s="798"/>
      <c r="Z10" s="798" t="s">
        <v>15</v>
      </c>
      <c r="AA10" s="798"/>
      <c r="AB10" s="798" t="s">
        <v>15</v>
      </c>
      <c r="AC10" s="798"/>
      <c r="AD10" s="798" t="s">
        <v>15</v>
      </c>
      <c r="AE10" s="798"/>
      <c r="AF10" s="798" t="s">
        <v>969</v>
      </c>
      <c r="AG10" s="798"/>
      <c r="AH10" s="798" t="s">
        <v>17</v>
      </c>
      <c r="AI10" s="798"/>
    </row>
    <row r="11" spans="1:35" s="799" customFormat="1" ht="13.8">
      <c r="A11" s="798"/>
      <c r="B11" s="798"/>
      <c r="C11" s="798"/>
      <c r="D11" s="798"/>
      <c r="E11" s="798"/>
      <c r="F11" s="798"/>
      <c r="G11" s="798"/>
      <c r="H11" s="800" t="s">
        <v>970</v>
      </c>
      <c r="I11" s="798">
        <v>1</v>
      </c>
      <c r="J11" s="800" t="s">
        <v>970</v>
      </c>
      <c r="K11" s="798">
        <v>2</v>
      </c>
      <c r="L11" s="800" t="s">
        <v>970</v>
      </c>
      <c r="M11" s="798">
        <v>3</v>
      </c>
      <c r="N11" s="800" t="s">
        <v>970</v>
      </c>
      <c r="O11" s="798">
        <v>4</v>
      </c>
      <c r="P11" s="800" t="s">
        <v>970</v>
      </c>
      <c r="Q11" s="798">
        <v>5</v>
      </c>
      <c r="R11" s="800" t="s">
        <v>970</v>
      </c>
      <c r="S11" s="798">
        <v>6</v>
      </c>
      <c r="T11" s="800" t="s">
        <v>970</v>
      </c>
      <c r="U11" s="798">
        <v>7</v>
      </c>
      <c r="V11" s="800" t="s">
        <v>970</v>
      </c>
      <c r="W11" s="798">
        <v>8</v>
      </c>
      <c r="X11" s="800" t="s">
        <v>970</v>
      </c>
      <c r="Y11" s="798">
        <v>9</v>
      </c>
      <c r="Z11" s="800" t="s">
        <v>970</v>
      </c>
      <c r="AA11" s="798">
        <v>10</v>
      </c>
      <c r="AB11" s="800" t="s">
        <v>970</v>
      </c>
      <c r="AC11" s="798">
        <v>11</v>
      </c>
      <c r="AD11" s="800" t="s">
        <v>970</v>
      </c>
      <c r="AE11" s="798">
        <v>2</v>
      </c>
      <c r="AF11" s="798"/>
      <c r="AG11" s="798"/>
      <c r="AH11" s="798"/>
      <c r="AI11" s="798"/>
    </row>
    <row r="12" spans="1:35" s="799" customFormat="1" ht="13.8">
      <c r="A12" s="798"/>
      <c r="B12" s="798"/>
      <c r="C12" s="798"/>
      <c r="D12" s="798"/>
      <c r="E12" s="801" t="s">
        <v>971</v>
      </c>
      <c r="F12" s="802" t="s">
        <v>491</v>
      </c>
      <c r="G12" s="803" t="s">
        <v>14</v>
      </c>
      <c r="H12" s="798" t="s">
        <v>12</v>
      </c>
      <c r="I12" s="803" t="s">
        <v>14</v>
      </c>
      <c r="J12" s="798" t="s">
        <v>12</v>
      </c>
      <c r="K12" s="798" t="s">
        <v>14</v>
      </c>
      <c r="L12" s="798" t="s">
        <v>12</v>
      </c>
      <c r="M12" s="798" t="s">
        <v>14</v>
      </c>
      <c r="N12" s="798" t="s">
        <v>12</v>
      </c>
      <c r="O12" s="798" t="s">
        <v>14</v>
      </c>
      <c r="P12" s="798" t="s">
        <v>12</v>
      </c>
      <c r="Q12" s="798" t="s">
        <v>14</v>
      </c>
      <c r="R12" s="798" t="s">
        <v>12</v>
      </c>
      <c r="S12" s="798" t="s">
        <v>14</v>
      </c>
      <c r="T12" s="798" t="s">
        <v>12</v>
      </c>
      <c r="U12" s="798" t="s">
        <v>14</v>
      </c>
      <c r="V12" s="798" t="s">
        <v>12</v>
      </c>
      <c r="W12" s="798" t="s">
        <v>14</v>
      </c>
      <c r="X12" s="798" t="s">
        <v>12</v>
      </c>
      <c r="Y12" s="798" t="s">
        <v>14</v>
      </c>
      <c r="Z12" s="798" t="s">
        <v>12</v>
      </c>
      <c r="AA12" s="798" t="s">
        <v>14</v>
      </c>
      <c r="AB12" s="798" t="s">
        <v>12</v>
      </c>
      <c r="AC12" s="798" t="s">
        <v>14</v>
      </c>
      <c r="AD12" s="798" t="s">
        <v>12</v>
      </c>
      <c r="AE12" s="798" t="s">
        <v>14</v>
      </c>
      <c r="AF12" s="798" t="s">
        <v>12</v>
      </c>
      <c r="AG12" s="798" t="s">
        <v>14</v>
      </c>
      <c r="AH12" s="798" t="s">
        <v>12</v>
      </c>
      <c r="AI12" s="798" t="s">
        <v>14</v>
      </c>
    </row>
    <row r="13" spans="1:35" ht="13.8">
      <c r="A13" s="804"/>
      <c r="B13" s="804"/>
      <c r="C13" s="804"/>
      <c r="D13" s="804"/>
      <c r="E13" s="805"/>
      <c r="F13" s="805"/>
      <c r="G13" s="806"/>
      <c r="H13" s="807"/>
      <c r="I13" s="808"/>
      <c r="J13" s="807"/>
      <c r="K13" s="807"/>
      <c r="L13" s="807"/>
      <c r="M13" s="807"/>
      <c r="N13" s="807"/>
      <c r="O13" s="807"/>
      <c r="P13" s="807"/>
      <c r="Q13" s="807"/>
      <c r="R13" s="807"/>
      <c r="S13" s="807"/>
      <c r="T13" s="807"/>
      <c r="U13" s="807"/>
      <c r="V13" s="807"/>
      <c r="W13" s="807"/>
      <c r="X13" s="807"/>
      <c r="Y13" s="807"/>
      <c r="Z13" s="807"/>
      <c r="AA13" s="807"/>
      <c r="AB13" s="807"/>
      <c r="AC13" s="807"/>
      <c r="AD13" s="807"/>
      <c r="AE13" s="807"/>
      <c r="AF13" s="807"/>
      <c r="AG13" s="807"/>
      <c r="AH13" s="807"/>
      <c r="AI13" s="807"/>
    </row>
    <row r="14" spans="1:35" ht="13.8">
      <c r="A14" s="809">
        <v>1</v>
      </c>
      <c r="B14" s="810" t="s">
        <v>21</v>
      </c>
      <c r="C14" s="811"/>
      <c r="D14" s="811"/>
      <c r="E14" s="805"/>
      <c r="F14" s="812" t="s">
        <v>972</v>
      </c>
      <c r="G14" s="805">
        <v>22705</v>
      </c>
      <c r="H14" s="807"/>
      <c r="I14" s="808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7"/>
    </row>
    <row r="15" spans="1:35" ht="13.8">
      <c r="A15" s="813" t="s">
        <v>22</v>
      </c>
      <c r="B15" s="814" t="s">
        <v>973</v>
      </c>
      <c r="C15" s="815" t="s">
        <v>974</v>
      </c>
      <c r="D15" s="816">
        <v>18</v>
      </c>
      <c r="E15" s="817">
        <v>435.14</v>
      </c>
      <c r="F15" s="817">
        <v>570</v>
      </c>
      <c r="G15" s="817">
        <v>10260</v>
      </c>
      <c r="H15" s="818">
        <v>8</v>
      </c>
      <c r="I15" s="808">
        <f>H15*$F15</f>
        <v>4560</v>
      </c>
      <c r="J15" s="818">
        <v>2</v>
      </c>
      <c r="K15" s="808">
        <f>J15*$F15</f>
        <v>1140</v>
      </c>
      <c r="L15" s="818">
        <v>2</v>
      </c>
      <c r="M15" s="808">
        <f>L15*$F15</f>
        <v>1140</v>
      </c>
      <c r="N15" s="818">
        <v>1</v>
      </c>
      <c r="O15" s="808">
        <f>N15*$F15</f>
        <v>570</v>
      </c>
      <c r="P15" s="818"/>
      <c r="Q15" s="808">
        <f>P15*$F15</f>
        <v>0</v>
      </c>
      <c r="R15" s="818"/>
      <c r="S15" s="808">
        <f>R15*$F15</f>
        <v>0</v>
      </c>
      <c r="T15" s="818"/>
      <c r="U15" s="808">
        <f>T15*$F15</f>
        <v>0</v>
      </c>
      <c r="V15" s="818"/>
      <c r="W15" s="808">
        <f>V15*$F15</f>
        <v>0</v>
      </c>
      <c r="X15" s="818"/>
      <c r="Y15" s="808">
        <f>X15*$F15</f>
        <v>0</v>
      </c>
      <c r="Z15" s="818"/>
      <c r="AA15" s="808">
        <f>Z15*$F15</f>
        <v>0</v>
      </c>
      <c r="AB15" s="818"/>
      <c r="AC15" s="808">
        <f>AB15*$F15</f>
        <v>0</v>
      </c>
      <c r="AD15" s="818"/>
      <c r="AE15" s="808">
        <f>AD15*$F15</f>
        <v>0</v>
      </c>
      <c r="AF15" s="819">
        <f>SUM(H15,J15,L15,N15,P15,R15,T15,V15,X15,Z15,AB15,AD15)</f>
        <v>13</v>
      </c>
      <c r="AG15" s="808">
        <f>AF15*$F15</f>
        <v>7410</v>
      </c>
      <c r="AH15" s="820">
        <f>D15-AF15</f>
        <v>5</v>
      </c>
      <c r="AI15" s="808">
        <f>AH15*$F15</f>
        <v>2850</v>
      </c>
    </row>
    <row r="16" spans="1:35" s="799" customFormat="1" ht="13.8">
      <c r="A16" s="813" t="s">
        <v>25</v>
      </c>
      <c r="B16" s="814" t="s">
        <v>975</v>
      </c>
      <c r="C16" s="815" t="s">
        <v>974</v>
      </c>
      <c r="D16" s="816">
        <v>3</v>
      </c>
      <c r="E16" s="817">
        <v>547.32000000000005</v>
      </c>
      <c r="F16" s="817">
        <v>715</v>
      </c>
      <c r="G16" s="817">
        <v>2145</v>
      </c>
      <c r="H16" s="821">
        <v>3</v>
      </c>
      <c r="I16" s="808">
        <f t="shared" si="0" ref="I16:K17">H16*$F16</f>
        <v>2145</v>
      </c>
      <c r="J16" s="821"/>
      <c r="K16" s="808">
        <f t="shared" si="0"/>
        <v>0</v>
      </c>
      <c r="L16" s="821"/>
      <c r="M16" s="808">
        <f>L16*$F16</f>
        <v>0</v>
      </c>
      <c r="N16" s="821"/>
      <c r="O16" s="808">
        <f>N16*$F16</f>
        <v>0</v>
      </c>
      <c r="P16" s="821"/>
      <c r="Q16" s="808">
        <f>P16*$F16</f>
        <v>0</v>
      </c>
      <c r="R16" s="821"/>
      <c r="S16" s="808">
        <f>R16*$F16</f>
        <v>0</v>
      </c>
      <c r="T16" s="821"/>
      <c r="U16" s="808">
        <f>T16*$F16</f>
        <v>0</v>
      </c>
      <c r="V16" s="821"/>
      <c r="W16" s="808">
        <f>V16*$F16</f>
        <v>0</v>
      </c>
      <c r="X16" s="821"/>
      <c r="Y16" s="808">
        <f>X16*$F16</f>
        <v>0</v>
      </c>
      <c r="Z16" s="821"/>
      <c r="AA16" s="808">
        <f>Z16*$F16</f>
        <v>0</v>
      </c>
      <c r="AB16" s="821"/>
      <c r="AC16" s="808">
        <f>AB16*$F16</f>
        <v>0</v>
      </c>
      <c r="AD16" s="821"/>
      <c r="AE16" s="808">
        <f>AD16*$F16</f>
        <v>0</v>
      </c>
      <c r="AF16" s="819">
        <f>SUM(H16,J16,L16,N16,P16,R16,T16,V16,X16,Z16,AB16,AD16)</f>
        <v>3</v>
      </c>
      <c r="AG16" s="808">
        <f>AF16*$F16</f>
        <v>2145</v>
      </c>
      <c r="AH16" s="820">
        <f>D16-AF16</f>
        <v>0</v>
      </c>
      <c r="AI16" s="808">
        <f>AH16*$F16</f>
        <v>0</v>
      </c>
    </row>
    <row r="17" spans="1:35" s="799" customFormat="1" ht="13.8">
      <c r="A17" s="813" t="s">
        <v>27</v>
      </c>
      <c r="B17" s="814" t="s">
        <v>976</v>
      </c>
      <c r="C17" s="815" t="s">
        <v>977</v>
      </c>
      <c r="D17" s="816">
        <v>1</v>
      </c>
      <c r="E17" s="817">
        <v>7907.80</v>
      </c>
      <c r="F17" s="817">
        <v>10300</v>
      </c>
      <c r="G17" s="817">
        <v>10300</v>
      </c>
      <c r="H17" s="821">
        <v>0.20</v>
      </c>
      <c r="I17" s="808">
        <f t="shared" si="0"/>
        <v>2060</v>
      </c>
      <c r="J17" s="821">
        <v>0.20</v>
      </c>
      <c r="K17" s="808">
        <f t="shared" si="0"/>
        <v>2060</v>
      </c>
      <c r="L17" s="821">
        <v>0.20</v>
      </c>
      <c r="M17" s="808">
        <f>L17*$F17</f>
        <v>2060</v>
      </c>
      <c r="N17" s="821">
        <v>0.10</v>
      </c>
      <c r="O17" s="808">
        <f>N17*$F17</f>
        <v>1030</v>
      </c>
      <c r="P17" s="821"/>
      <c r="Q17" s="808">
        <f>P17*$F17</f>
        <v>0</v>
      </c>
      <c r="R17" s="821"/>
      <c r="S17" s="808">
        <f>R17*$F17</f>
        <v>0</v>
      </c>
      <c r="T17" s="821"/>
      <c r="U17" s="808">
        <f>T17*$F17</f>
        <v>0</v>
      </c>
      <c r="V17" s="821"/>
      <c r="W17" s="808">
        <f>V17*$F17</f>
        <v>0</v>
      </c>
      <c r="X17" s="821"/>
      <c r="Y17" s="808">
        <f>X17*$F17</f>
        <v>0</v>
      </c>
      <c r="Z17" s="821"/>
      <c r="AA17" s="808">
        <f>Z17*$F17</f>
        <v>0</v>
      </c>
      <c r="AB17" s="821"/>
      <c r="AC17" s="808">
        <f>AB17*$F17</f>
        <v>0</v>
      </c>
      <c r="AD17" s="821"/>
      <c r="AE17" s="808">
        <f>AD17*$F17</f>
        <v>0</v>
      </c>
      <c r="AF17" s="819">
        <f>SUM(H17,J17,L17,N17,P17,R17,T17,V17,X17,Z17,AB17,AD17)</f>
        <v>0.69999999999999996</v>
      </c>
      <c r="AG17" s="808">
        <f>AF17*$F17</f>
        <v>7210</v>
      </c>
      <c r="AH17" s="820">
        <f>D17-AF17</f>
        <v>0.29999999999999999</v>
      </c>
      <c r="AI17" s="808">
        <f>AH17*$F17</f>
        <v>3090</v>
      </c>
    </row>
    <row r="18" spans="1:35" s="799" customFormat="1" ht="13.8">
      <c r="A18" s="813"/>
      <c r="B18" s="813"/>
      <c r="C18" s="815"/>
      <c r="D18" s="816"/>
      <c r="E18" s="817"/>
      <c r="F18" s="817"/>
      <c r="G18" s="817"/>
      <c r="H18" s="821"/>
      <c r="I18" s="822"/>
      <c r="J18" s="821"/>
      <c r="K18" s="822"/>
      <c r="L18" s="821"/>
      <c r="M18" s="822"/>
      <c r="N18" s="821"/>
      <c r="O18" s="822"/>
      <c r="P18" s="821"/>
      <c r="Q18" s="822"/>
      <c r="R18" s="821"/>
      <c r="S18" s="822"/>
      <c r="T18" s="821"/>
      <c r="U18" s="822"/>
      <c r="V18" s="821"/>
      <c r="W18" s="822"/>
      <c r="X18" s="821"/>
      <c r="Y18" s="822"/>
      <c r="Z18" s="821"/>
      <c r="AA18" s="822"/>
      <c r="AB18" s="821"/>
      <c r="AC18" s="822"/>
      <c r="AD18" s="821"/>
      <c r="AE18" s="822"/>
      <c r="AF18" s="815"/>
      <c r="AG18" s="822"/>
      <c r="AH18" s="815"/>
      <c r="AI18" s="822"/>
    </row>
    <row r="19" spans="1:35" ht="13.8">
      <c r="A19" s="809">
        <v>2</v>
      </c>
      <c r="B19" s="810" t="s">
        <v>42</v>
      </c>
      <c r="C19" s="811"/>
      <c r="D19" s="811"/>
      <c r="E19" s="805"/>
      <c r="F19" s="812" t="s">
        <v>972</v>
      </c>
      <c r="G19" s="823">
        <v>298407.30</v>
      </c>
      <c r="H19" s="818"/>
      <c r="I19" s="808"/>
      <c r="J19" s="818"/>
      <c r="K19" s="808"/>
      <c r="L19" s="818"/>
      <c r="M19" s="808"/>
      <c r="N19" s="818"/>
      <c r="O19" s="808"/>
      <c r="P19" s="818"/>
      <c r="Q19" s="808"/>
      <c r="R19" s="818"/>
      <c r="S19" s="808"/>
      <c r="T19" s="818"/>
      <c r="U19" s="808"/>
      <c r="V19" s="818"/>
      <c r="W19" s="808"/>
      <c r="X19" s="818"/>
      <c r="Y19" s="808"/>
      <c r="Z19" s="818"/>
      <c r="AA19" s="808"/>
      <c r="AB19" s="818"/>
      <c r="AC19" s="808"/>
      <c r="AD19" s="818"/>
      <c r="AE19" s="808"/>
      <c r="AF19" s="807"/>
      <c r="AG19" s="808"/>
      <c r="AH19" s="807"/>
      <c r="AI19" s="808"/>
    </row>
    <row r="20" spans="1:35" ht="13.8">
      <c r="A20" s="813" t="s">
        <v>32</v>
      </c>
      <c r="B20" s="814" t="s">
        <v>978</v>
      </c>
      <c r="C20" s="815" t="s">
        <v>29</v>
      </c>
      <c r="D20" s="816">
        <v>500</v>
      </c>
      <c r="E20" s="817">
        <v>46.04</v>
      </c>
      <c r="F20" s="817">
        <v>60</v>
      </c>
      <c r="G20" s="817">
        <v>30000</v>
      </c>
      <c r="H20" s="818">
        <v>120</v>
      </c>
      <c r="I20" s="808">
        <f t="shared" si="1" ref="I20:K24">H20*$F20</f>
        <v>7200</v>
      </c>
      <c r="J20" s="818">
        <v>150</v>
      </c>
      <c r="K20" s="808">
        <f t="shared" si="1"/>
        <v>9000</v>
      </c>
      <c r="L20" s="818">
        <v>100</v>
      </c>
      <c r="M20" s="808">
        <f>L20*$F20</f>
        <v>6000</v>
      </c>
      <c r="N20" s="818">
        <v>50</v>
      </c>
      <c r="O20" s="808">
        <f>N20*$F20</f>
        <v>3000</v>
      </c>
      <c r="P20" s="818"/>
      <c r="Q20" s="808">
        <f>P20*$F20</f>
        <v>0</v>
      </c>
      <c r="R20" s="818"/>
      <c r="S20" s="808">
        <f>R20*$F20</f>
        <v>0</v>
      </c>
      <c r="T20" s="818"/>
      <c r="U20" s="808">
        <f>T20*$F20</f>
        <v>0</v>
      </c>
      <c r="V20" s="818"/>
      <c r="W20" s="808">
        <f>V20*$F20</f>
        <v>0</v>
      </c>
      <c r="X20" s="818"/>
      <c r="Y20" s="808">
        <f>X20*$F20</f>
        <v>0</v>
      </c>
      <c r="Z20" s="818"/>
      <c r="AA20" s="808">
        <f>Z20*$F20</f>
        <v>0</v>
      </c>
      <c r="AB20" s="818"/>
      <c r="AC20" s="808">
        <f>AB20*$F20</f>
        <v>0</v>
      </c>
      <c r="AD20" s="818"/>
      <c r="AE20" s="808">
        <f>AD20*$F20</f>
        <v>0</v>
      </c>
      <c r="AF20" s="819">
        <f>SUM(H20,J20,L20,N20,P20,R20,T20,V20,X20,Z20,AB20,AD20)</f>
        <v>420</v>
      </c>
      <c r="AG20" s="808">
        <f>AF20*$F20</f>
        <v>25200</v>
      </c>
      <c r="AH20" s="820">
        <f>D20-AF20</f>
        <v>80</v>
      </c>
      <c r="AI20" s="808">
        <f>AH20*$F20</f>
        <v>4800</v>
      </c>
    </row>
    <row r="21" spans="1:35" ht="13.8">
      <c r="A21" s="813" t="s">
        <v>35</v>
      </c>
      <c r="B21" s="814" t="s">
        <v>979</v>
      </c>
      <c r="C21" s="815" t="s">
        <v>29</v>
      </c>
      <c r="D21" s="816">
        <v>500</v>
      </c>
      <c r="E21" s="817">
        <v>47.44</v>
      </c>
      <c r="F21" s="817">
        <v>60</v>
      </c>
      <c r="G21" s="817">
        <v>30000</v>
      </c>
      <c r="H21" s="818">
        <v>120</v>
      </c>
      <c r="I21" s="808">
        <f t="shared" si="1"/>
        <v>7200</v>
      </c>
      <c r="J21" s="818">
        <v>150</v>
      </c>
      <c r="K21" s="808">
        <f t="shared" si="1"/>
        <v>9000</v>
      </c>
      <c r="L21" s="818">
        <v>100</v>
      </c>
      <c r="M21" s="808">
        <f>L21*$F21</f>
        <v>6000</v>
      </c>
      <c r="N21" s="818">
        <v>50</v>
      </c>
      <c r="O21" s="808">
        <f>N21*$F21</f>
        <v>3000</v>
      </c>
      <c r="P21" s="818"/>
      <c r="Q21" s="808">
        <f>P21*$F21</f>
        <v>0</v>
      </c>
      <c r="R21" s="818"/>
      <c r="S21" s="808">
        <f>R21*$F21</f>
        <v>0</v>
      </c>
      <c r="T21" s="818"/>
      <c r="U21" s="808">
        <f>T21*$F21</f>
        <v>0</v>
      </c>
      <c r="V21" s="818"/>
      <c r="W21" s="808">
        <f>V21*$F21</f>
        <v>0</v>
      </c>
      <c r="X21" s="818"/>
      <c r="Y21" s="808">
        <f>X21*$F21</f>
        <v>0</v>
      </c>
      <c r="Z21" s="818"/>
      <c r="AA21" s="808">
        <f>Z21*$F21</f>
        <v>0</v>
      </c>
      <c r="AB21" s="818"/>
      <c r="AC21" s="808">
        <f>AB21*$F21</f>
        <v>0</v>
      </c>
      <c r="AD21" s="818"/>
      <c r="AE21" s="808">
        <f>AD21*$F21</f>
        <v>0</v>
      </c>
      <c r="AF21" s="819">
        <f>SUM(H21,J21,L21,N21,P21,R21,T21,V21,X21,Z21,AB21,AD21)</f>
        <v>420</v>
      </c>
      <c r="AG21" s="808">
        <f>AF21*$F21</f>
        <v>25200</v>
      </c>
      <c r="AH21" s="820">
        <f>D21-AF21</f>
        <v>80</v>
      </c>
      <c r="AI21" s="808">
        <f>AH21*$F21</f>
        <v>4800</v>
      </c>
    </row>
    <row r="22" spans="1:35" ht="13.8">
      <c r="A22" s="813" t="s">
        <v>337</v>
      </c>
      <c r="B22" s="814" t="s">
        <v>980</v>
      </c>
      <c r="C22" s="815" t="s">
        <v>974</v>
      </c>
      <c r="D22" s="816">
        <v>400</v>
      </c>
      <c r="E22" s="817">
        <v>91.03</v>
      </c>
      <c r="F22" s="817">
        <v>115</v>
      </c>
      <c r="G22" s="817">
        <v>46000</v>
      </c>
      <c r="H22" s="818">
        <v>60</v>
      </c>
      <c r="I22" s="808">
        <f t="shared" si="1"/>
        <v>6900</v>
      </c>
      <c r="J22" s="818">
        <v>150</v>
      </c>
      <c r="K22" s="808">
        <f t="shared" si="1"/>
        <v>17250</v>
      </c>
      <c r="L22" s="818">
        <v>50</v>
      </c>
      <c r="M22" s="808">
        <f>L22*$F22</f>
        <v>5750</v>
      </c>
      <c r="N22" s="818">
        <v>70</v>
      </c>
      <c r="O22" s="808">
        <f>N22*$F22</f>
        <v>8050</v>
      </c>
      <c r="P22" s="818"/>
      <c r="Q22" s="808">
        <f>P22*$F22</f>
        <v>0</v>
      </c>
      <c r="R22" s="818"/>
      <c r="S22" s="808">
        <f>R22*$F22</f>
        <v>0</v>
      </c>
      <c r="T22" s="818"/>
      <c r="U22" s="808">
        <f>T22*$F22</f>
        <v>0</v>
      </c>
      <c r="V22" s="818"/>
      <c r="W22" s="808">
        <f>V22*$F22</f>
        <v>0</v>
      </c>
      <c r="X22" s="818"/>
      <c r="Y22" s="808">
        <f>X22*$F22</f>
        <v>0</v>
      </c>
      <c r="Z22" s="818"/>
      <c r="AA22" s="808">
        <f>Z22*$F22</f>
        <v>0</v>
      </c>
      <c r="AB22" s="818"/>
      <c r="AC22" s="808">
        <f>AB22*$F22</f>
        <v>0</v>
      </c>
      <c r="AD22" s="818"/>
      <c r="AE22" s="808">
        <f>AD22*$F22</f>
        <v>0</v>
      </c>
      <c r="AF22" s="819">
        <f>SUM(H22,J22,L22,N22,P22,R22,T22,V22,X22,Z22,AB22,AD22)</f>
        <v>330</v>
      </c>
      <c r="AG22" s="808">
        <f>AF22*$F22</f>
        <v>37950</v>
      </c>
      <c r="AH22" s="820">
        <f>D22-AF22</f>
        <v>70</v>
      </c>
      <c r="AI22" s="808">
        <f>AH22*$F22</f>
        <v>8050</v>
      </c>
    </row>
    <row r="23" spans="1:35" ht="13.8">
      <c r="A23" s="813" t="s">
        <v>339</v>
      </c>
      <c r="B23" s="814" t="s">
        <v>981</v>
      </c>
      <c r="C23" s="815" t="s">
        <v>974</v>
      </c>
      <c r="D23" s="816">
        <v>1350</v>
      </c>
      <c r="E23" s="817">
        <v>97.5</v>
      </c>
      <c r="F23" s="817">
        <v>127</v>
      </c>
      <c r="G23" s="817">
        <v>171450</v>
      </c>
      <c r="H23" s="818">
        <v>139</v>
      </c>
      <c r="I23" s="808">
        <f t="shared" si="1"/>
        <v>17653</v>
      </c>
      <c r="J23" s="818">
        <v>201</v>
      </c>
      <c r="K23" s="808">
        <f t="shared" si="1"/>
        <v>25527</v>
      </c>
      <c r="L23" s="818">
        <v>350</v>
      </c>
      <c r="M23" s="808">
        <f>L23*$F23</f>
        <v>44450</v>
      </c>
      <c r="N23" s="818">
        <v>220</v>
      </c>
      <c r="O23" s="808">
        <f>N23*$F23</f>
        <v>27940</v>
      </c>
      <c r="P23" s="818"/>
      <c r="Q23" s="808">
        <f>P23*$F23</f>
        <v>0</v>
      </c>
      <c r="R23" s="818"/>
      <c r="S23" s="808">
        <f>R23*$F23</f>
        <v>0</v>
      </c>
      <c r="T23" s="818"/>
      <c r="U23" s="808">
        <f>T23*$F23</f>
        <v>0</v>
      </c>
      <c r="V23" s="818"/>
      <c r="W23" s="808">
        <f>V23*$F23</f>
        <v>0</v>
      </c>
      <c r="X23" s="818"/>
      <c r="Y23" s="808">
        <f>X23*$F23</f>
        <v>0</v>
      </c>
      <c r="Z23" s="818"/>
      <c r="AA23" s="808">
        <f>Z23*$F23</f>
        <v>0</v>
      </c>
      <c r="AB23" s="818"/>
      <c r="AC23" s="808">
        <f>AB23*$F23</f>
        <v>0</v>
      </c>
      <c r="AD23" s="818"/>
      <c r="AE23" s="808">
        <f>AD23*$F23</f>
        <v>0</v>
      </c>
      <c r="AF23" s="819">
        <f>SUM(H23,J23,L23,N23,P23,R23,T23,V23,X23,Z23,AB23,AD23)</f>
        <v>910</v>
      </c>
      <c r="AG23" s="808">
        <f>AF23*$F23</f>
        <v>115570</v>
      </c>
      <c r="AH23" s="820">
        <f>D23-AF23</f>
        <v>440</v>
      </c>
      <c r="AI23" s="808">
        <f>AH23*$F23</f>
        <v>55880</v>
      </c>
    </row>
    <row r="24" spans="1:35" ht="13.8">
      <c r="A24" s="813" t="s">
        <v>982</v>
      </c>
      <c r="B24" s="814" t="s">
        <v>983</v>
      </c>
      <c r="C24" s="815" t="s">
        <v>984</v>
      </c>
      <c r="D24" s="816">
        <v>17.149999999999999</v>
      </c>
      <c r="E24" s="817">
        <v>932.49</v>
      </c>
      <c r="F24" s="817">
        <v>1222</v>
      </c>
      <c r="G24" s="817">
        <v>20957.30</v>
      </c>
      <c r="H24" s="818">
        <v>4.5</v>
      </c>
      <c r="I24" s="808">
        <f t="shared" si="1"/>
        <v>5499</v>
      </c>
      <c r="J24" s="818"/>
      <c r="K24" s="808">
        <f t="shared" si="1"/>
        <v>0</v>
      </c>
      <c r="L24" s="818">
        <v>1</v>
      </c>
      <c r="M24" s="808">
        <f>L24*$F24</f>
        <v>1222</v>
      </c>
      <c r="N24" s="818">
        <v>2</v>
      </c>
      <c r="O24" s="808">
        <f>N24*$F24</f>
        <v>2444</v>
      </c>
      <c r="P24" s="818"/>
      <c r="Q24" s="808">
        <f>P24*$F24</f>
        <v>0</v>
      </c>
      <c r="R24" s="818"/>
      <c r="S24" s="808">
        <f>R24*$F24</f>
        <v>0</v>
      </c>
      <c r="T24" s="818"/>
      <c r="U24" s="808">
        <f>T24*$F24</f>
        <v>0</v>
      </c>
      <c r="V24" s="818"/>
      <c r="W24" s="808">
        <f>V24*$F24</f>
        <v>0</v>
      </c>
      <c r="X24" s="818"/>
      <c r="Y24" s="808">
        <f>X24*$F24</f>
        <v>0</v>
      </c>
      <c r="Z24" s="818"/>
      <c r="AA24" s="808">
        <f>Z24*$F24</f>
        <v>0</v>
      </c>
      <c r="AB24" s="818"/>
      <c r="AC24" s="808">
        <f>AB24*$F24</f>
        <v>0</v>
      </c>
      <c r="AD24" s="818"/>
      <c r="AE24" s="808">
        <f>AD24*$F24</f>
        <v>0</v>
      </c>
      <c r="AF24" s="819">
        <f>SUM(H24,J24,L24,N24,P24,R24,T24,V24,X24,Z24,AB24,AD24)</f>
        <v>7.5</v>
      </c>
      <c r="AG24" s="808">
        <f>AF24*$F24</f>
        <v>9165</v>
      </c>
      <c r="AH24" s="820">
        <f>D24-AF24</f>
        <v>9.6500000000000004</v>
      </c>
      <c r="AI24" s="808">
        <f>AH24*$F24</f>
        <v>11792.299999999999</v>
      </c>
    </row>
    <row r="25" spans="1:35" ht="13.8">
      <c r="A25" s="813"/>
      <c r="B25" s="813"/>
      <c r="C25" s="815"/>
      <c r="D25" s="816"/>
      <c r="E25" s="817"/>
      <c r="F25" s="817"/>
      <c r="G25" s="817"/>
      <c r="H25" s="818"/>
      <c r="I25" s="808"/>
      <c r="J25" s="818"/>
      <c r="K25" s="808"/>
      <c r="L25" s="818"/>
      <c r="M25" s="808"/>
      <c r="N25" s="818"/>
      <c r="O25" s="808"/>
      <c r="P25" s="818"/>
      <c r="Q25" s="808"/>
      <c r="R25" s="818"/>
      <c r="S25" s="808"/>
      <c r="T25" s="818"/>
      <c r="U25" s="808"/>
      <c r="V25" s="818"/>
      <c r="W25" s="808"/>
      <c r="X25" s="818"/>
      <c r="Y25" s="808"/>
      <c r="Z25" s="818"/>
      <c r="AA25" s="808"/>
      <c r="AB25" s="818"/>
      <c r="AC25" s="808"/>
      <c r="AD25" s="818"/>
      <c r="AE25" s="808"/>
      <c r="AF25" s="807"/>
      <c r="AG25" s="808"/>
      <c r="AH25" s="807"/>
      <c r="AI25" s="808"/>
    </row>
    <row r="26" spans="1:35" ht="13.8">
      <c r="A26" s="809">
        <v>3</v>
      </c>
      <c r="B26" s="810" t="s">
        <v>985</v>
      </c>
      <c r="C26" s="811"/>
      <c r="D26" s="811"/>
      <c r="E26" s="805"/>
      <c r="F26" s="812" t="s">
        <v>972</v>
      </c>
      <c r="G26" s="823">
        <v>2593.5</v>
      </c>
      <c r="H26" s="818"/>
      <c r="I26" s="808"/>
      <c r="J26" s="818"/>
      <c r="K26" s="808"/>
      <c r="L26" s="818"/>
      <c r="M26" s="808"/>
      <c r="N26" s="818"/>
      <c r="O26" s="808"/>
      <c r="P26" s="818"/>
      <c r="Q26" s="808"/>
      <c r="R26" s="818"/>
      <c r="S26" s="808"/>
      <c r="T26" s="818"/>
      <c r="U26" s="808"/>
      <c r="V26" s="818"/>
      <c r="W26" s="808"/>
      <c r="X26" s="818"/>
      <c r="Y26" s="808"/>
      <c r="Z26" s="818"/>
      <c r="AA26" s="808"/>
      <c r="AB26" s="818"/>
      <c r="AC26" s="808"/>
      <c r="AD26" s="818"/>
      <c r="AE26" s="808"/>
      <c r="AF26" s="807"/>
      <c r="AG26" s="808"/>
      <c r="AH26" s="807"/>
      <c r="AI26" s="808"/>
    </row>
    <row r="27" spans="1:35" ht="13.8">
      <c r="A27" s="813" t="s">
        <v>39</v>
      </c>
      <c r="B27" s="814" t="s">
        <v>986</v>
      </c>
      <c r="C27" s="815" t="s">
        <v>24</v>
      </c>
      <c r="D27" s="816">
        <v>1995</v>
      </c>
      <c r="E27" s="817">
        <v>1.03</v>
      </c>
      <c r="F27" s="817">
        <v>1.30</v>
      </c>
      <c r="G27" s="817">
        <v>2593.5</v>
      </c>
      <c r="H27" s="818"/>
      <c r="I27" s="808">
        <f>H27*$F27</f>
        <v>0</v>
      </c>
      <c r="J27" s="818"/>
      <c r="K27" s="808">
        <f>J27*$F27</f>
        <v>0</v>
      </c>
      <c r="L27" s="818"/>
      <c r="M27" s="808">
        <f>L27*$F27</f>
        <v>0</v>
      </c>
      <c r="N27" s="818"/>
      <c r="O27" s="808">
        <f>N27*$F27</f>
        <v>0</v>
      </c>
      <c r="P27" s="818"/>
      <c r="Q27" s="808">
        <f>P27*$F27</f>
        <v>0</v>
      </c>
      <c r="R27" s="818"/>
      <c r="S27" s="808">
        <f>R27*$F27</f>
        <v>0</v>
      </c>
      <c r="T27" s="818"/>
      <c r="U27" s="808">
        <f>T27*$F27</f>
        <v>0</v>
      </c>
      <c r="V27" s="818"/>
      <c r="W27" s="808">
        <f>V27*$F27</f>
        <v>0</v>
      </c>
      <c r="X27" s="818"/>
      <c r="Y27" s="808">
        <f>X27*$F27</f>
        <v>0</v>
      </c>
      <c r="Z27" s="818"/>
      <c r="AA27" s="808">
        <f>Z27*$F27</f>
        <v>0</v>
      </c>
      <c r="AB27" s="818"/>
      <c r="AC27" s="808">
        <f>AB27*$F27</f>
        <v>0</v>
      </c>
      <c r="AD27" s="818"/>
      <c r="AE27" s="808">
        <f>AD27*$F27</f>
        <v>0</v>
      </c>
      <c r="AF27" s="819">
        <f>SUM(H27,J27,L27,N27,P27,R27,T27,V27,X27,Z27,AB27,AD27)</f>
        <v>0</v>
      </c>
      <c r="AG27" s="808">
        <f>AF27*$F27</f>
        <v>0</v>
      </c>
      <c r="AH27" s="820">
        <f>D27-AF27</f>
        <v>1995</v>
      </c>
      <c r="AI27" s="808">
        <f>AH27*$F27</f>
        <v>2593.5</v>
      </c>
    </row>
    <row r="28" spans="1:35" ht="13.8">
      <c r="A28" s="807"/>
      <c r="B28" s="807"/>
      <c r="C28" s="807"/>
      <c r="D28" s="807"/>
      <c r="E28" s="807"/>
      <c r="F28" s="807"/>
      <c r="G28" s="807"/>
      <c r="H28" s="824"/>
      <c r="I28" s="808"/>
      <c r="J28" s="807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807"/>
      <c r="AB28" s="807"/>
      <c r="AC28" s="807"/>
      <c r="AD28" s="807"/>
      <c r="AE28" s="807"/>
      <c r="AF28" s="807"/>
      <c r="AG28" s="807"/>
      <c r="AH28" s="807"/>
      <c r="AI28" s="807"/>
    </row>
    <row r="29" spans="1:35" ht="13.8">
      <c r="A29" s="804"/>
      <c r="B29" s="804"/>
      <c r="C29" s="804"/>
      <c r="D29" s="804"/>
      <c r="E29" s="804"/>
      <c r="F29" s="825" t="s">
        <v>48</v>
      </c>
      <c r="G29" s="806">
        <f>G14+G19+G26</f>
        <v>323705.79999999999</v>
      </c>
      <c r="H29" s="825" t="s">
        <v>48</v>
      </c>
      <c r="I29" s="806">
        <f>SUM(I15:I27)</f>
        <v>53217</v>
      </c>
      <c r="J29" s="825" t="s">
        <v>48</v>
      </c>
      <c r="K29" s="806">
        <f>SUM(K15:K27)</f>
        <v>63977</v>
      </c>
      <c r="L29" s="825" t="s">
        <v>48</v>
      </c>
      <c r="M29" s="806">
        <f>SUM(M15:M27)</f>
        <v>66622</v>
      </c>
      <c r="N29" s="825" t="s">
        <v>48</v>
      </c>
      <c r="O29" s="806">
        <f>SUM(O15:O27)</f>
        <v>46034</v>
      </c>
      <c r="P29" s="825" t="s">
        <v>48</v>
      </c>
      <c r="Q29" s="806">
        <f>SUM(Q15:Q27)</f>
        <v>0</v>
      </c>
      <c r="R29" s="825" t="s">
        <v>48</v>
      </c>
      <c r="S29" s="806">
        <f>SUM(S15:S27)</f>
        <v>0</v>
      </c>
      <c r="T29" s="825" t="s">
        <v>48</v>
      </c>
      <c r="U29" s="806">
        <f>SUM(U15:U27)</f>
        <v>0</v>
      </c>
      <c r="V29" s="825" t="s">
        <v>48</v>
      </c>
      <c r="W29" s="806">
        <f>SUM(W15:W27)</f>
        <v>0</v>
      </c>
      <c r="X29" s="825" t="s">
        <v>48</v>
      </c>
      <c r="Y29" s="806">
        <f>SUM(Y15:Y27)</f>
        <v>0</v>
      </c>
      <c r="Z29" s="825" t="s">
        <v>48</v>
      </c>
      <c r="AA29" s="806">
        <f>SUM(AA15:AA27)</f>
        <v>0</v>
      </c>
      <c r="AB29" s="825" t="s">
        <v>48</v>
      </c>
      <c r="AC29" s="806">
        <f>SUM(AC15:AC27)</f>
        <v>0</v>
      </c>
      <c r="AD29" s="825" t="s">
        <v>48</v>
      </c>
      <c r="AE29" s="806">
        <f>SUM(AE15:AE27)</f>
        <v>0</v>
      </c>
      <c r="AF29" s="825" t="s">
        <v>48</v>
      </c>
      <c r="AG29" s="806">
        <f>SUM(AG15:AG27)</f>
        <v>229850</v>
      </c>
      <c r="AH29" s="825" t="s">
        <v>48</v>
      </c>
      <c r="AI29" s="806">
        <f>SUM(AI15:AI27)</f>
        <v>93855.800000000003</v>
      </c>
    </row>
    <row r="30" spans="1:7" ht="13.8">
      <c r="A30" s="778"/>
      <c r="B30" s="778"/>
      <c r="C30" s="778"/>
      <c r="D30" s="778"/>
      <c r="E30" s="778"/>
      <c r="F30" s="778"/>
      <c r="G30" s="778"/>
    </row>
    <row r="31" spans="1:35" ht="13.8" customHeight="1">
      <c r="A31" s="826" t="s">
        <v>990</v>
      </c>
      <c r="B31" s="826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6"/>
      <c r="Y31" s="826"/>
      <c r="Z31" s="826"/>
      <c r="AA31" s="826"/>
      <c r="AB31" s="826"/>
      <c r="AC31" s="826"/>
      <c r="AD31" s="826"/>
      <c r="AE31" s="826"/>
      <c r="AF31" s="826"/>
      <c r="AG31" s="826"/>
      <c r="AH31" s="826"/>
      <c r="AI31" s="826"/>
    </row>
    <row r="32" spans="1:35" ht="13.8">
      <c r="A32" s="826"/>
      <c r="B32" s="826"/>
      <c r="C32" s="826"/>
      <c r="D32" s="826"/>
      <c r="E32" s="826"/>
      <c r="F32" s="826"/>
      <c r="G32" s="826"/>
      <c r="H32" s="826"/>
      <c r="I32" s="826"/>
      <c r="J32" s="826"/>
      <c r="K32" s="826"/>
      <c r="L32" s="826"/>
      <c r="M32" s="826"/>
      <c r="N32" s="826"/>
      <c r="O32" s="826"/>
      <c r="P32" s="826"/>
      <c r="Q32" s="826"/>
      <c r="R32" s="826"/>
      <c r="S32" s="826"/>
      <c r="T32" s="826"/>
      <c r="U32" s="826"/>
      <c r="V32" s="826"/>
      <c r="W32" s="826"/>
      <c r="X32" s="826"/>
      <c r="Y32" s="826"/>
      <c r="Z32" s="826"/>
      <c r="AA32" s="826"/>
      <c r="AB32" s="826"/>
      <c r="AC32" s="826"/>
      <c r="AD32" s="826"/>
      <c r="AE32" s="826"/>
      <c r="AF32" s="826"/>
      <c r="AG32" s="826"/>
      <c r="AH32" s="826"/>
      <c r="AI32" s="826"/>
    </row>
    <row r="33" spans="9:47" ht="12.75" customHeight="1">
      <c r="I33" s="793"/>
      <c r="AJ33" s="827"/>
      <c r="AK33" s="827"/>
      <c r="AL33" s="827"/>
      <c r="AM33" s="827"/>
      <c r="AN33" s="827"/>
      <c r="AO33" s="827"/>
      <c r="AP33" s="827"/>
      <c r="AQ33" s="827"/>
      <c r="AR33" s="827"/>
      <c r="AS33" s="827"/>
      <c r="AT33" s="827"/>
      <c r="AU33" s="827"/>
    </row>
    <row r="34" spans="1:47" ht="13.8">
      <c r="A34" s="778" t="s">
        <v>50</v>
      </c>
      <c r="I34" s="793"/>
      <c r="AJ34" s="827"/>
      <c r="AK34" s="827"/>
      <c r="AL34" s="827"/>
      <c r="AM34" s="827"/>
      <c r="AN34" s="827"/>
      <c r="AO34" s="827"/>
      <c r="AP34" s="827"/>
      <c r="AQ34" s="827"/>
      <c r="AR34" s="827"/>
      <c r="AS34" s="827"/>
      <c r="AT34" s="827"/>
      <c r="AU34" s="827"/>
    </row>
    <row r="35" spans="1:1" ht="13.8">
      <c r="A35" s="778" t="s">
        <v>988</v>
      </c>
    </row>
    <row r="36" spans="1:7" ht="13.8">
      <c r="A36" s="778" t="s">
        <v>989</v>
      </c>
      <c r="C36" s="793"/>
      <c r="D36" s="828"/>
      <c r="E36" s="829"/>
      <c r="F36" s="829"/>
      <c r="G36" s="829"/>
    </row>
    <row r="37" spans="3:7" ht="13.8">
      <c r="C37" s="793"/>
      <c r="D37" s="828"/>
      <c r="E37" s="829"/>
      <c r="F37" s="829"/>
      <c r="G37" s="829"/>
    </row>
    <row r="38" spans="3:7" ht="13.8">
      <c r="C38" s="793"/>
      <c r="D38" s="828"/>
      <c r="E38" s="829"/>
      <c r="F38" s="829"/>
      <c r="G38" s="829"/>
    </row>
  </sheetData>
  <sheetProtection/>
  <mergeCells count="25">
    <mergeCell ref="A31:AI32"/>
    <mergeCell ref="A8:AI8"/>
    <mergeCell ref="AH2:AI2"/>
    <mergeCell ref="A3:F4"/>
    <mergeCell ref="AH3:AI4"/>
    <mergeCell ref="V10:W10"/>
    <mergeCell ref="X10:Y10"/>
    <mergeCell ref="Z10:AA10"/>
    <mergeCell ref="AB10:AC10"/>
    <mergeCell ref="AD10:AE10"/>
    <mergeCell ref="A10:A12"/>
    <mergeCell ref="B10:B12"/>
    <mergeCell ref="C10:C12"/>
    <mergeCell ref="D10:D12"/>
    <mergeCell ref="A30:G30"/>
    <mergeCell ref="E10:G11"/>
    <mergeCell ref="H10:I10"/>
    <mergeCell ref="J10:K10"/>
    <mergeCell ref="AH10:AI11"/>
    <mergeCell ref="L10:M10"/>
    <mergeCell ref="N10:O10"/>
    <mergeCell ref="P10:Q10"/>
    <mergeCell ref="R10:S10"/>
    <mergeCell ref="T10:U10"/>
    <mergeCell ref="AF10:AG11"/>
  </mergeCells>
  <printOptions horizontalCentered="1"/>
  <pageMargins left="0.5118110236220472" right="0.5118110236220472" top="0.5118110236220472" bottom="0.5118110236220472" header="0.5118110236220472" footer="0.5118110236220472"/>
  <pageSetup fitToHeight="0" horizontalDpi="360" verticalDpi="360" orientation="landscape" paperSize="9" scale="69" r:id="rId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329fc1-8563-49ad-aa7c-b84353f30f13}">
  <dimension ref="A1:K17"/>
  <sheetViews>
    <sheetView workbookViewId="0" topLeftCell="A1">
      <selection pane="topLeft" activeCell="F22" sqref="F21:F22"/>
    </sheetView>
  </sheetViews>
  <sheetFormatPr defaultRowHeight="14.5" customHeight="1"/>
  <cols>
    <col min="1" max="1" width="9.142857142857142" style="1" customWidth="1"/>
    <col min="2" max="2" width="31.428571428571427" style="1" bestFit="1" customWidth="1"/>
    <col min="3" max="3" width="20.142857142857142" style="1" customWidth="1"/>
    <col min="4" max="4" width="17.714285714285715" style="1" customWidth="1"/>
    <col min="5" max="5" width="17.571428571428573" style="1" customWidth="1"/>
    <col min="6" max="6" width="11.571428571428571" style="1" bestFit="1" customWidth="1"/>
    <col min="7" max="16384" width="9.142857142857142" style="1" customWidth="1"/>
  </cols>
  <sheetData>
    <row r="1" spans="1:1" ht="14.5">
      <c r="A1" s="104" t="str">
        <f>CPU!A1</f>
        <v>ESTADO DO PARÁ</v>
      </c>
    </row>
    <row r="2" spans="1:1" ht="14.5">
      <c r="A2" s="104" t="str">
        <f>CPU!A2</f>
        <v>PREFEITURA MUNICIPAL DE TERRA SANTA</v>
      </c>
    </row>
    <row r="3" spans="1:1" ht="14.5">
      <c r="A3" s="104" t="str">
        <f>CPU!A3</f>
        <v>OBRA: PAVIMENTAÇÃO EM CONCRETO DE VIAS URBANAS DO MUNICÍPIO DE TERRA SANTA</v>
      </c>
    </row>
    <row r="4" spans="1:1" ht="14.5">
      <c r="A4" s="104" t="str">
        <f>CPU!A4</f>
        <v>LICITAÇÃO: CONCORRÊNCIA 01/2023</v>
      </c>
    </row>
    <row r="5" spans="1:1" ht="14.5">
      <c r="A5" s="104" t="s">
        <v>209</v>
      </c>
    </row>
    <row r="7" spans="1:11" ht="14.5">
      <c r="A7" s="105" t="s">
        <v>210</v>
      </c>
      <c r="B7" s="105"/>
      <c r="C7" s="105"/>
      <c r="D7" s="105"/>
      <c r="E7" s="105"/>
      <c r="F7" s="105"/>
      <c r="G7" s="106"/>
      <c r="H7" s="106"/>
      <c r="I7" s="106"/>
      <c r="J7" s="106"/>
      <c r="K7" s="106"/>
    </row>
    <row r="9" spans="1:6" ht="58.5" thickBot="1">
      <c r="A9" s="107" t="s">
        <v>9</v>
      </c>
      <c r="B9" s="107" t="s">
        <v>211</v>
      </c>
      <c r="C9" s="107" t="s">
        <v>212</v>
      </c>
      <c r="D9" s="107" t="s">
        <v>213</v>
      </c>
      <c r="E9" s="107" t="s">
        <v>214</v>
      </c>
      <c r="F9" s="108" t="s">
        <v>215</v>
      </c>
    </row>
    <row r="10" spans="1:6" ht="15" thickBot="1">
      <c r="A10" s="109">
        <v>1</v>
      </c>
      <c r="B10" s="110" t="s">
        <v>216</v>
      </c>
      <c r="C10" s="111">
        <v>70</v>
      </c>
      <c r="D10" s="111">
        <v>70</v>
      </c>
      <c r="E10" s="112">
        <v>70</v>
      </c>
      <c r="F10" s="113">
        <f>(C10+D10+E10)/3</f>
        <v>70</v>
      </c>
    </row>
    <row r="11" spans="5:6" ht="15" thickBot="1">
      <c r="E11" s="114" t="s">
        <v>217</v>
      </c>
      <c r="F11" s="115">
        <f>F10/50</f>
        <v>1.40</v>
      </c>
    </row>
    <row r="15" spans="1:1" ht="14.5">
      <c r="A15" s="103" t="s">
        <v>206</v>
      </c>
    </row>
    <row r="16" spans="1:1" ht="14.5">
      <c r="A16" s="103" t="s">
        <v>207</v>
      </c>
    </row>
    <row r="17" spans="1:1" ht="14.5">
      <c r="A17" s="103" t="s">
        <v>208</v>
      </c>
    </row>
  </sheetData>
  <mergeCells count="1">
    <mergeCell ref="A7:F7"/>
  </mergeCells>
  <pageMargins left="0.5118110236220472" right="0.5118110236220472" top="0.7874015748031497" bottom="0.7874015748031497" header="0.31496062992125984" footer="0.31496062992125984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dcbe7f-05c8-4228-94ad-82917eb50c57}">
  <sheetPr>
    <pageSetUpPr fitToPage="1"/>
  </sheetPr>
  <dimension ref="A1:F68"/>
  <sheetViews>
    <sheetView showGridLines="0" view="pageBreakPreview" zoomScaleNormal="100" zoomScaleSheetLayoutView="100" workbookViewId="0" topLeftCell="A28">
      <selection pane="topLeft" activeCell="E60" sqref="E60"/>
    </sheetView>
  </sheetViews>
  <sheetFormatPr defaultColWidth="9.184285714285714" defaultRowHeight="13" customHeight="1"/>
  <cols>
    <col min="1" max="1" width="9.142857142857142" style="143"/>
    <col min="2" max="2" width="32" style="143" bestFit="1" customWidth="1"/>
    <col min="3" max="3" width="37.57142857142857" style="143" customWidth="1"/>
    <col min="4" max="4" width="15.142857142857142" style="144" customWidth="1"/>
    <col min="5" max="5" width="12.571428571428571" style="143" customWidth="1"/>
    <col min="6" max="6" width="16.142857142857142" style="143" customWidth="1"/>
    <col min="7" max="16384" width="9.142857142857142" style="143"/>
  </cols>
  <sheetData>
    <row r="1" spans="1:1" ht="13">
      <c r="A1" s="116" t="str">
        <f>BM!A1</f>
        <v>ESTADO DO PARÁ</v>
      </c>
    </row>
    <row r="2" spans="1:1" ht="13">
      <c r="A2" s="116" t="str">
        <f>BM!A2</f>
        <v>PREFEITURA MUNICIPAL DE TERRA SANTA</v>
      </c>
    </row>
    <row r="3" spans="1:6" ht="13">
      <c r="A3" s="116" t="str">
        <f>BM!A3</f>
        <v>OBRA: PAVIMENTAÇÃO EM CONCRETO DE VIAS URBANAS DO MUNICÍPIO DE TERRA SANTA</v>
      </c>
      <c r="B3" s="117"/>
      <c r="C3" s="117"/>
      <c r="D3" s="117"/>
      <c r="E3" s="117"/>
      <c r="F3" s="117"/>
    </row>
    <row r="4" spans="1:6" ht="13">
      <c r="A4" s="116"/>
      <c r="B4" s="117"/>
      <c r="C4" s="117"/>
      <c r="D4" s="117"/>
      <c r="E4" s="117"/>
      <c r="F4" s="117"/>
    </row>
    <row r="5" spans="1:6" ht="13">
      <c r="A5" s="116"/>
      <c r="B5" s="116"/>
      <c r="C5" s="116"/>
      <c r="D5" s="118"/>
      <c r="E5" s="116"/>
      <c r="F5" s="116"/>
    </row>
    <row r="6" spans="1:6" ht="15.5">
      <c r="A6" s="119" t="s">
        <v>218</v>
      </c>
      <c r="B6" s="119"/>
      <c r="C6" s="119"/>
      <c r="D6" s="119"/>
      <c r="E6" s="119"/>
      <c r="F6" s="119"/>
    </row>
    <row r="8" spans="1:6" ht="13">
      <c r="A8" s="120" t="s">
        <v>9</v>
      </c>
      <c r="B8" s="120" t="s">
        <v>219</v>
      </c>
      <c r="C8" s="120" t="s">
        <v>220</v>
      </c>
      <c r="D8" s="121" t="s">
        <v>221</v>
      </c>
      <c r="E8" s="120" t="s">
        <v>222</v>
      </c>
      <c r="F8" s="120" t="s">
        <v>223</v>
      </c>
    </row>
    <row r="9" spans="1:6" ht="14.5">
      <c r="A9" s="122">
        <v>1</v>
      </c>
      <c r="B9" s="123" t="s">
        <v>224</v>
      </c>
      <c r="C9" s="123" t="s">
        <v>225</v>
      </c>
      <c r="D9" s="124">
        <v>238</v>
      </c>
      <c r="E9" s="124">
        <v>7</v>
      </c>
      <c r="F9" s="125">
        <f t="shared" si="0" ref="F9:F17">SUM(D9*E9)</f>
        <v>1666</v>
      </c>
    </row>
    <row r="10" spans="1:6" ht="14.5">
      <c r="A10" s="122">
        <v>2</v>
      </c>
      <c r="B10" s="123" t="s">
        <v>226</v>
      </c>
      <c r="C10" s="123" t="s">
        <v>227</v>
      </c>
      <c r="D10" s="124">
        <v>266</v>
      </c>
      <c r="E10" s="124">
        <v>7</v>
      </c>
      <c r="F10" s="125">
        <f t="shared" si="0"/>
        <v>1862</v>
      </c>
    </row>
    <row r="11" spans="1:6" ht="14.5">
      <c r="A11" s="122">
        <v>3</v>
      </c>
      <c r="B11" s="123" t="s">
        <v>228</v>
      </c>
      <c r="C11" s="123" t="s">
        <v>225</v>
      </c>
      <c r="D11" s="124">
        <v>208</v>
      </c>
      <c r="E11" s="124">
        <v>7</v>
      </c>
      <c r="F11" s="125">
        <f t="shared" si="0"/>
        <v>1456</v>
      </c>
    </row>
    <row r="12" spans="1:6" ht="14.5">
      <c r="A12" s="122">
        <v>4</v>
      </c>
      <c r="B12" s="123" t="s">
        <v>229</v>
      </c>
      <c r="C12" s="123" t="s">
        <v>225</v>
      </c>
      <c r="D12" s="124">
        <v>203</v>
      </c>
      <c r="E12" s="124">
        <v>7</v>
      </c>
      <c r="F12" s="125">
        <f t="shared" si="0"/>
        <v>1421</v>
      </c>
    </row>
    <row r="13" spans="1:6" ht="14.5">
      <c r="A13" s="122">
        <v>5</v>
      </c>
      <c r="B13" s="123" t="s">
        <v>230</v>
      </c>
      <c r="C13" s="123" t="s">
        <v>225</v>
      </c>
      <c r="D13" s="124">
        <v>198</v>
      </c>
      <c r="E13" s="124">
        <v>7</v>
      </c>
      <c r="F13" s="125">
        <f t="shared" si="0"/>
        <v>1386</v>
      </c>
    </row>
    <row r="14" spans="1:6" ht="14.5">
      <c r="A14" s="122">
        <v>6</v>
      </c>
      <c r="B14" s="123" t="s">
        <v>231</v>
      </c>
      <c r="C14" s="123" t="s">
        <v>225</v>
      </c>
      <c r="D14" s="124">
        <v>193</v>
      </c>
      <c r="E14" s="124">
        <v>7</v>
      </c>
      <c r="F14" s="125">
        <f t="shared" si="0"/>
        <v>1351</v>
      </c>
    </row>
    <row r="15" spans="1:6" ht="14.5">
      <c r="A15" s="122">
        <v>7</v>
      </c>
      <c r="B15" s="123" t="s">
        <v>232</v>
      </c>
      <c r="C15" s="123" t="s">
        <v>225</v>
      </c>
      <c r="D15" s="124">
        <v>183</v>
      </c>
      <c r="E15" s="124">
        <v>7</v>
      </c>
      <c r="F15" s="125">
        <f t="shared" si="0"/>
        <v>1281</v>
      </c>
    </row>
    <row r="16" spans="1:6" ht="14.5">
      <c r="A16" s="122">
        <v>8</v>
      </c>
      <c r="B16" s="123" t="s">
        <v>233</v>
      </c>
      <c r="C16" s="123" t="s">
        <v>225</v>
      </c>
      <c r="D16" s="124">
        <v>276</v>
      </c>
      <c r="E16" s="124">
        <v>7</v>
      </c>
      <c r="F16" s="125">
        <f t="shared" si="0"/>
        <v>1932</v>
      </c>
    </row>
    <row r="17" spans="1:6" ht="14.5">
      <c r="A17" s="122">
        <v>9</v>
      </c>
      <c r="B17" s="123" t="s">
        <v>234</v>
      </c>
      <c r="C17" s="123" t="s">
        <v>225</v>
      </c>
      <c r="D17" s="124">
        <v>256</v>
      </c>
      <c r="E17" s="124">
        <v>7</v>
      </c>
      <c r="F17" s="125">
        <f t="shared" si="0"/>
        <v>1792</v>
      </c>
    </row>
    <row r="18" spans="1:6" ht="14.5">
      <c r="A18" s="109">
        <v>10</v>
      </c>
      <c r="B18" s="123" t="s">
        <v>235</v>
      </c>
      <c r="C18" s="123" t="s">
        <v>236</v>
      </c>
      <c r="D18" s="124">
        <v>340</v>
      </c>
      <c r="E18" s="124">
        <v>7</v>
      </c>
      <c r="F18" s="125">
        <f t="shared" si="1" ref="F18:F59">SUM(D18*E18)</f>
        <v>2380</v>
      </c>
    </row>
    <row r="19" spans="1:6" ht="14.5">
      <c r="A19" s="109">
        <v>11</v>
      </c>
      <c r="B19" s="110" t="s">
        <v>237</v>
      </c>
      <c r="C19" s="123" t="s">
        <v>238</v>
      </c>
      <c r="D19" s="124">
        <v>165</v>
      </c>
      <c r="E19" s="124">
        <v>7</v>
      </c>
      <c r="F19" s="125">
        <f t="shared" si="1"/>
        <v>1155</v>
      </c>
    </row>
    <row r="20" spans="1:6" ht="14.5">
      <c r="A20" s="109">
        <v>12</v>
      </c>
      <c r="B20" s="110" t="s">
        <v>239</v>
      </c>
      <c r="C20" s="123" t="s">
        <v>240</v>
      </c>
      <c r="D20" s="124">
        <v>60</v>
      </c>
      <c r="E20" s="124">
        <v>7</v>
      </c>
      <c r="F20" s="125">
        <f t="shared" si="1"/>
        <v>420</v>
      </c>
    </row>
    <row r="21" spans="1:6" ht="14.5">
      <c r="A21" s="109">
        <v>13</v>
      </c>
      <c r="B21" s="110" t="s">
        <v>241</v>
      </c>
      <c r="C21" s="123" t="s">
        <v>242</v>
      </c>
      <c r="D21" s="124">
        <v>202</v>
      </c>
      <c r="E21" s="124">
        <v>7</v>
      </c>
      <c r="F21" s="125">
        <f t="shared" si="1"/>
        <v>1414</v>
      </c>
    </row>
    <row r="22" spans="1:6" ht="14.5">
      <c r="A22" s="109">
        <v>14</v>
      </c>
      <c r="B22" s="110" t="s">
        <v>243</v>
      </c>
      <c r="C22" s="123" t="s">
        <v>244</v>
      </c>
      <c r="D22" s="124">
        <v>102</v>
      </c>
      <c r="E22" s="124">
        <v>7</v>
      </c>
      <c r="F22" s="125">
        <f t="shared" si="1"/>
        <v>714</v>
      </c>
    </row>
    <row r="23" spans="1:6" ht="14.5">
      <c r="A23" s="109">
        <v>15</v>
      </c>
      <c r="B23" s="110" t="s">
        <v>245</v>
      </c>
      <c r="C23" s="123" t="s">
        <v>246</v>
      </c>
      <c r="D23" s="124">
        <v>330</v>
      </c>
      <c r="E23" s="124">
        <v>7</v>
      </c>
      <c r="F23" s="125">
        <f t="shared" si="1"/>
        <v>2310</v>
      </c>
    </row>
    <row r="24" spans="1:6" ht="14.5">
      <c r="A24" s="109">
        <v>16</v>
      </c>
      <c r="B24" s="110" t="s">
        <v>247</v>
      </c>
      <c r="C24" s="123" t="s">
        <v>248</v>
      </c>
      <c r="D24" s="124">
        <v>750</v>
      </c>
      <c r="E24" s="124">
        <v>7</v>
      </c>
      <c r="F24" s="125">
        <f t="shared" si="1"/>
        <v>5250</v>
      </c>
    </row>
    <row r="25" spans="1:6" ht="14.5">
      <c r="A25" s="109">
        <v>17</v>
      </c>
      <c r="B25" s="110" t="s">
        <v>249</v>
      </c>
      <c r="C25" s="123" t="s">
        <v>248</v>
      </c>
      <c r="D25" s="124">
        <v>690</v>
      </c>
      <c r="E25" s="124">
        <v>7</v>
      </c>
      <c r="F25" s="125">
        <f t="shared" si="1"/>
        <v>4830</v>
      </c>
    </row>
    <row r="26" spans="1:6" ht="14.5">
      <c r="A26" s="109">
        <v>18</v>
      </c>
      <c r="B26" s="110" t="s">
        <v>250</v>
      </c>
      <c r="C26" s="123" t="s">
        <v>251</v>
      </c>
      <c r="D26" s="124">
        <v>120</v>
      </c>
      <c r="E26" s="124">
        <v>7</v>
      </c>
      <c r="F26" s="125">
        <f t="shared" si="1"/>
        <v>840</v>
      </c>
    </row>
    <row r="27" spans="1:6" ht="14.5">
      <c r="A27" s="109">
        <v>19</v>
      </c>
      <c r="B27" s="110" t="s">
        <v>252</v>
      </c>
      <c r="C27" s="123" t="s">
        <v>253</v>
      </c>
      <c r="D27" s="126">
        <v>400</v>
      </c>
      <c r="E27" s="124">
        <v>7</v>
      </c>
      <c r="F27" s="125">
        <f t="shared" si="1"/>
        <v>2800</v>
      </c>
    </row>
    <row r="28" spans="1:6" ht="14.5">
      <c r="A28" s="109">
        <v>20</v>
      </c>
      <c r="B28" s="110" t="s">
        <v>254</v>
      </c>
      <c r="C28" s="123" t="s">
        <v>253</v>
      </c>
      <c r="D28" s="126">
        <v>320</v>
      </c>
      <c r="E28" s="124">
        <v>7</v>
      </c>
      <c r="F28" s="125">
        <f t="shared" si="1"/>
        <v>2240</v>
      </c>
    </row>
    <row r="29" spans="1:6" ht="14.5">
      <c r="A29" s="109">
        <v>21</v>
      </c>
      <c r="B29" s="110" t="s">
        <v>255</v>
      </c>
      <c r="C29" s="123" t="s">
        <v>256</v>
      </c>
      <c r="D29" s="126">
        <v>1010</v>
      </c>
      <c r="E29" s="124">
        <v>7</v>
      </c>
      <c r="F29" s="125">
        <f t="shared" si="1"/>
        <v>7070</v>
      </c>
    </row>
    <row r="30" spans="1:6" ht="14.5">
      <c r="A30" s="109">
        <v>22</v>
      </c>
      <c r="B30" s="110" t="s">
        <v>257</v>
      </c>
      <c r="C30" s="123" t="s">
        <v>258</v>
      </c>
      <c r="D30" s="126">
        <v>90</v>
      </c>
      <c r="E30" s="124">
        <v>7</v>
      </c>
      <c r="F30" s="125">
        <f t="shared" si="1"/>
        <v>630</v>
      </c>
    </row>
    <row r="31" spans="1:6" ht="14.5">
      <c r="A31" s="109">
        <v>23</v>
      </c>
      <c r="B31" s="110" t="s">
        <v>259</v>
      </c>
      <c r="C31" s="123" t="s">
        <v>258</v>
      </c>
      <c r="D31" s="126">
        <v>100</v>
      </c>
      <c r="E31" s="124">
        <v>7</v>
      </c>
      <c r="F31" s="125">
        <f t="shared" si="1"/>
        <v>700</v>
      </c>
    </row>
    <row r="32" spans="1:6" ht="14.5">
      <c r="A32" s="109">
        <v>24</v>
      </c>
      <c r="B32" s="110" t="s">
        <v>260</v>
      </c>
      <c r="C32" s="123" t="s">
        <v>261</v>
      </c>
      <c r="D32" s="126">
        <v>202</v>
      </c>
      <c r="E32" s="124">
        <v>7</v>
      </c>
      <c r="F32" s="125">
        <f t="shared" si="1"/>
        <v>1414</v>
      </c>
    </row>
    <row r="33" spans="1:6" ht="14.5">
      <c r="A33" s="109">
        <v>25</v>
      </c>
      <c r="B33" s="110" t="s">
        <v>262</v>
      </c>
      <c r="C33" s="123" t="s">
        <v>244</v>
      </c>
      <c r="D33" s="126">
        <v>70</v>
      </c>
      <c r="E33" s="124">
        <v>7</v>
      </c>
      <c r="F33" s="125">
        <f t="shared" si="1"/>
        <v>490</v>
      </c>
    </row>
    <row r="34" spans="1:6" ht="14.5">
      <c r="A34" s="109">
        <v>26</v>
      </c>
      <c r="B34" s="110" t="s">
        <v>263</v>
      </c>
      <c r="C34" s="123" t="s">
        <v>264</v>
      </c>
      <c r="D34" s="126">
        <v>420</v>
      </c>
      <c r="E34" s="124">
        <v>7</v>
      </c>
      <c r="F34" s="125">
        <f t="shared" si="1"/>
        <v>2940</v>
      </c>
    </row>
    <row r="35" spans="1:6" ht="14.5">
      <c r="A35" s="109">
        <v>27</v>
      </c>
      <c r="B35" s="110" t="s">
        <v>265</v>
      </c>
      <c r="C35" s="123" t="s">
        <v>266</v>
      </c>
      <c r="D35" s="126">
        <v>860</v>
      </c>
      <c r="E35" s="124">
        <v>7</v>
      </c>
      <c r="F35" s="125">
        <f t="shared" si="1"/>
        <v>6020</v>
      </c>
    </row>
    <row r="36" spans="1:6" ht="14.5">
      <c r="A36" s="109">
        <v>28</v>
      </c>
      <c r="B36" s="110" t="s">
        <v>267</v>
      </c>
      <c r="C36" s="123" t="s">
        <v>268</v>
      </c>
      <c r="D36" s="126">
        <f>191+192</f>
        <v>383</v>
      </c>
      <c r="E36" s="124">
        <v>7</v>
      </c>
      <c r="F36" s="125">
        <f t="shared" si="1"/>
        <v>2681</v>
      </c>
    </row>
    <row r="37" spans="1:6" ht="14.5">
      <c r="A37" s="109">
        <v>29</v>
      </c>
      <c r="B37" s="110" t="s">
        <v>269</v>
      </c>
      <c r="C37" s="123" t="s">
        <v>270</v>
      </c>
      <c r="D37" s="126">
        <f>346+182</f>
        <v>528</v>
      </c>
      <c r="E37" s="124">
        <v>7</v>
      </c>
      <c r="F37" s="125">
        <f t="shared" si="1"/>
        <v>3696</v>
      </c>
    </row>
    <row r="38" spans="1:6" ht="14.5">
      <c r="A38" s="109">
        <v>30</v>
      </c>
      <c r="B38" s="110" t="s">
        <v>271</v>
      </c>
      <c r="C38" s="123" t="s">
        <v>268</v>
      </c>
      <c r="D38" s="126">
        <f>178+190</f>
        <v>368</v>
      </c>
      <c r="E38" s="124">
        <v>7</v>
      </c>
      <c r="F38" s="125">
        <f t="shared" si="1"/>
        <v>2576</v>
      </c>
    </row>
    <row r="39" spans="1:6" ht="14.5">
      <c r="A39" s="109">
        <v>31</v>
      </c>
      <c r="B39" s="110" t="s">
        <v>272</v>
      </c>
      <c r="C39" s="123" t="s">
        <v>273</v>
      </c>
      <c r="D39" s="126">
        <v>345</v>
      </c>
      <c r="E39" s="124">
        <v>7</v>
      </c>
      <c r="F39" s="125">
        <f t="shared" si="1"/>
        <v>2415</v>
      </c>
    </row>
    <row r="40" spans="1:6" ht="14.5">
      <c r="A40" s="109">
        <v>32</v>
      </c>
      <c r="B40" s="110" t="s">
        <v>274</v>
      </c>
      <c r="C40" s="123" t="s">
        <v>275</v>
      </c>
      <c r="D40" s="126">
        <v>174</v>
      </c>
      <c r="E40" s="124">
        <v>7</v>
      </c>
      <c r="F40" s="125">
        <f t="shared" si="1"/>
        <v>1218</v>
      </c>
    </row>
    <row r="41" spans="1:6" ht="14.5">
      <c r="A41" s="109">
        <v>33</v>
      </c>
      <c r="B41" s="110" t="s">
        <v>276</v>
      </c>
      <c r="C41" s="123" t="s">
        <v>275</v>
      </c>
      <c r="D41" s="126">
        <v>170</v>
      </c>
      <c r="E41" s="124">
        <v>7</v>
      </c>
      <c r="F41" s="125">
        <f t="shared" si="1"/>
        <v>1190</v>
      </c>
    </row>
    <row r="42" spans="1:6" ht="14.5">
      <c r="A42" s="109">
        <v>34</v>
      </c>
      <c r="B42" s="110" t="s">
        <v>277</v>
      </c>
      <c r="C42" s="123" t="s">
        <v>278</v>
      </c>
      <c r="D42" s="126">
        <f>163+145</f>
        <v>308</v>
      </c>
      <c r="E42" s="124">
        <v>7</v>
      </c>
      <c r="F42" s="125">
        <f t="shared" si="1"/>
        <v>2156</v>
      </c>
    </row>
    <row r="43" spans="1:6" ht="14.5">
      <c r="A43" s="109">
        <v>35</v>
      </c>
      <c r="B43" s="110" t="s">
        <v>279</v>
      </c>
      <c r="C43" s="123" t="s">
        <v>280</v>
      </c>
      <c r="D43" s="126">
        <f>141+162</f>
        <v>303</v>
      </c>
      <c r="E43" s="124">
        <v>7</v>
      </c>
      <c r="F43" s="125">
        <f t="shared" si="1"/>
        <v>2121</v>
      </c>
    </row>
    <row r="44" spans="1:6" ht="14.5">
      <c r="A44" s="109">
        <v>36</v>
      </c>
      <c r="B44" s="110" t="s">
        <v>281</v>
      </c>
      <c r="C44" s="123" t="s">
        <v>280</v>
      </c>
      <c r="D44" s="126">
        <f>160+143</f>
        <v>303</v>
      </c>
      <c r="E44" s="124">
        <v>7</v>
      </c>
      <c r="F44" s="125">
        <f t="shared" si="1"/>
        <v>2121</v>
      </c>
    </row>
    <row r="45" spans="1:6" ht="14.5">
      <c r="A45" s="109">
        <v>37</v>
      </c>
      <c r="B45" s="110" t="s">
        <v>282</v>
      </c>
      <c r="C45" s="123" t="s">
        <v>283</v>
      </c>
      <c r="D45" s="126">
        <f>328+156</f>
        <v>484</v>
      </c>
      <c r="E45" s="124">
        <v>7</v>
      </c>
      <c r="F45" s="125">
        <f t="shared" si="1"/>
        <v>3388</v>
      </c>
    </row>
    <row r="46" spans="1:6" ht="14.5">
      <c r="A46" s="109">
        <v>38</v>
      </c>
      <c r="B46" s="110" t="s">
        <v>284</v>
      </c>
      <c r="C46" s="123" t="s">
        <v>268</v>
      </c>
      <c r="D46" s="126">
        <f>178+152</f>
        <v>330</v>
      </c>
      <c r="E46" s="124">
        <v>7</v>
      </c>
      <c r="F46" s="125">
        <f t="shared" si="1"/>
        <v>2310</v>
      </c>
    </row>
    <row r="47" spans="1:6" ht="14.5">
      <c r="A47" s="109">
        <v>39</v>
      </c>
      <c r="B47" s="110" t="s">
        <v>285</v>
      </c>
      <c r="C47" s="123" t="s">
        <v>286</v>
      </c>
      <c r="D47" s="126">
        <f>233+150</f>
        <v>383</v>
      </c>
      <c r="E47" s="124">
        <v>7</v>
      </c>
      <c r="F47" s="125">
        <f t="shared" si="1"/>
        <v>2681</v>
      </c>
    </row>
    <row r="48" spans="1:6" ht="14.5">
      <c r="A48" s="109">
        <v>40</v>
      </c>
      <c r="B48" s="110" t="s">
        <v>287</v>
      </c>
      <c r="C48" s="123" t="s">
        <v>288</v>
      </c>
      <c r="D48" s="126">
        <f>315+160</f>
        <v>475</v>
      </c>
      <c r="E48" s="124">
        <v>7</v>
      </c>
      <c r="F48" s="125">
        <f t="shared" si="1"/>
        <v>3325</v>
      </c>
    </row>
    <row r="49" spans="1:6" ht="14.5">
      <c r="A49" s="109">
        <v>41</v>
      </c>
      <c r="B49" s="110" t="s">
        <v>289</v>
      </c>
      <c r="C49" s="123" t="s">
        <v>283</v>
      </c>
      <c r="D49" s="126">
        <f>311+152</f>
        <v>463</v>
      </c>
      <c r="E49" s="124">
        <v>7</v>
      </c>
      <c r="F49" s="125">
        <f t="shared" si="1"/>
        <v>3241</v>
      </c>
    </row>
    <row r="50" spans="1:6" ht="14.5">
      <c r="A50" s="109">
        <v>42</v>
      </c>
      <c r="B50" s="110" t="s">
        <v>290</v>
      </c>
      <c r="C50" s="123" t="s">
        <v>275</v>
      </c>
      <c r="D50" s="126">
        <v>150</v>
      </c>
      <c r="E50" s="124">
        <v>7</v>
      </c>
      <c r="F50" s="125">
        <f t="shared" si="1"/>
        <v>1050</v>
      </c>
    </row>
    <row r="51" spans="1:6" ht="14.5">
      <c r="A51" s="109">
        <v>43</v>
      </c>
      <c r="B51" s="110" t="s">
        <v>291</v>
      </c>
      <c r="C51" s="123" t="s">
        <v>292</v>
      </c>
      <c r="D51" s="126">
        <f>153+80</f>
        <v>233</v>
      </c>
      <c r="E51" s="124">
        <v>7</v>
      </c>
      <c r="F51" s="125">
        <f t="shared" si="1"/>
        <v>1631</v>
      </c>
    </row>
    <row r="52" spans="1:6" ht="14.5">
      <c r="A52" s="109">
        <v>44</v>
      </c>
      <c r="B52" s="110" t="s">
        <v>293</v>
      </c>
      <c r="C52" s="123" t="s">
        <v>275</v>
      </c>
      <c r="D52" s="126">
        <v>152</v>
      </c>
      <c r="E52" s="124">
        <v>7</v>
      </c>
      <c r="F52" s="125">
        <f t="shared" si="1"/>
        <v>1064</v>
      </c>
    </row>
    <row r="53" spans="1:6" ht="14.5">
      <c r="A53" s="109">
        <v>45</v>
      </c>
      <c r="B53" s="110" t="s">
        <v>294</v>
      </c>
      <c r="C53" s="123" t="s">
        <v>295</v>
      </c>
      <c r="D53" s="126">
        <v>263</v>
      </c>
      <c r="E53" s="124">
        <v>7</v>
      </c>
      <c r="F53" s="125">
        <f t="shared" si="1"/>
        <v>1841</v>
      </c>
    </row>
    <row r="54" spans="1:6" ht="14.5">
      <c r="A54" s="109">
        <v>46</v>
      </c>
      <c r="B54" s="110" t="s">
        <v>296</v>
      </c>
      <c r="C54" s="123" t="s">
        <v>295</v>
      </c>
      <c r="D54" s="126">
        <v>233</v>
      </c>
      <c r="E54" s="124">
        <v>7</v>
      </c>
      <c r="F54" s="125">
        <f t="shared" si="1"/>
        <v>1631</v>
      </c>
    </row>
    <row r="55" spans="1:6" ht="14.5">
      <c r="A55" s="109">
        <v>47</v>
      </c>
      <c r="B55" s="110" t="s">
        <v>297</v>
      </c>
      <c r="C55" s="123" t="s">
        <v>295</v>
      </c>
      <c r="D55" s="126">
        <v>231</v>
      </c>
      <c r="E55" s="124">
        <v>7</v>
      </c>
      <c r="F55" s="125">
        <f t="shared" si="1"/>
        <v>1617</v>
      </c>
    </row>
    <row r="56" spans="1:6" ht="14.5">
      <c r="A56" s="109">
        <v>48</v>
      </c>
      <c r="B56" s="110" t="s">
        <v>298</v>
      </c>
      <c r="C56" s="123" t="s">
        <v>295</v>
      </c>
      <c r="D56" s="126">
        <v>223</v>
      </c>
      <c r="E56" s="124">
        <v>7</v>
      </c>
      <c r="F56" s="125">
        <f t="shared" si="1"/>
        <v>1561</v>
      </c>
    </row>
    <row r="57" spans="1:6" ht="14.5">
      <c r="A57" s="109">
        <v>49</v>
      </c>
      <c r="B57" s="110" t="s">
        <v>299</v>
      </c>
      <c r="C57" s="123" t="s">
        <v>295</v>
      </c>
      <c r="D57" s="126">
        <v>203</v>
      </c>
      <c r="E57" s="124">
        <v>7</v>
      </c>
      <c r="F57" s="125">
        <f t="shared" si="1"/>
        <v>1421</v>
      </c>
    </row>
    <row r="58" spans="1:6" ht="14.5">
      <c r="A58" s="109">
        <v>50</v>
      </c>
      <c r="B58" s="110" t="s">
        <v>300</v>
      </c>
      <c r="C58" s="123" t="s">
        <v>301</v>
      </c>
      <c r="D58" s="126">
        <v>115</v>
      </c>
      <c r="E58" s="124">
        <v>7</v>
      </c>
      <c r="F58" s="125">
        <f t="shared" si="1"/>
        <v>805</v>
      </c>
    </row>
    <row r="59" spans="1:6" ht="14.5">
      <c r="A59" s="109">
        <v>51</v>
      </c>
      <c r="B59" s="110" t="s">
        <v>302</v>
      </c>
      <c r="C59" s="123" t="s">
        <v>303</v>
      </c>
      <c r="D59" s="124">
        <v>1200</v>
      </c>
      <c r="E59" s="124">
        <v>8</v>
      </c>
      <c r="F59" s="125">
        <f t="shared" si="1"/>
        <v>9600</v>
      </c>
    </row>
    <row r="60" spans="1:6" ht="15" thickBot="1">
      <c r="A60" s="127"/>
      <c r="B60" s="128"/>
      <c r="C60" s="129"/>
      <c r="D60" s="130"/>
      <c r="E60" s="131"/>
      <c r="F60" s="132"/>
    </row>
    <row r="61" spans="1:6" ht="16" thickBot="1">
      <c r="A61" s="133" t="s">
        <v>304</v>
      </c>
      <c r="B61" s="134"/>
      <c r="C61" s="135"/>
      <c r="D61" s="136">
        <f>SUM(D9:D60)</f>
        <v>16272</v>
      </c>
      <c r="E61" s="137"/>
      <c r="F61" s="138">
        <f>SUM(F9:F60)</f>
        <v>115104</v>
      </c>
    </row>
    <row r="62" spans="1:6" ht="13">
      <c r="A62" s="139"/>
      <c r="B62" s="140"/>
      <c r="C62" s="140"/>
      <c r="D62" s="141"/>
      <c r="E62" s="140"/>
      <c r="F62" s="140"/>
    </row>
    <row r="63" spans="1:6" ht="13">
      <c r="A63" s="142"/>
      <c r="B63" s="140"/>
      <c r="C63" s="140"/>
      <c r="D63" s="141"/>
      <c r="E63" s="140"/>
      <c r="F63" s="140"/>
    </row>
    <row r="64" spans="1:6" ht="13">
      <c r="A64" s="142"/>
      <c r="B64" s="140"/>
      <c r="C64" s="140"/>
      <c r="D64" s="141"/>
      <c r="E64" s="140"/>
      <c r="F64" s="140"/>
    </row>
    <row r="65" spans="1:6" ht="13">
      <c r="A65" s="142"/>
      <c r="B65" s="142"/>
      <c r="C65" s="140"/>
      <c r="D65" s="141"/>
      <c r="E65" s="140"/>
      <c r="F65" s="140"/>
    </row>
    <row r="66" spans="1:1" ht="13">
      <c r="A66" s="103" t="s">
        <v>206</v>
      </c>
    </row>
    <row r="67" spans="1:1" ht="13">
      <c r="A67" s="103" t="s">
        <v>207</v>
      </c>
    </row>
    <row r="68" spans="1:1" ht="13">
      <c r="A68" s="103" t="s">
        <v>208</v>
      </c>
    </row>
  </sheetData>
  <mergeCells count="2">
    <mergeCell ref="A6:F6"/>
    <mergeCell ref="A61:C61"/>
  </mergeCells>
  <printOptions horizontalCentered="1"/>
  <pageMargins left="0.5118110236220472" right="0.5118110236220472" top="0.3937007874015748" bottom="0.3937007874015748" header="0.31496062992125984" footer="0.31496062992125984"/>
  <pageSetup horizontalDpi="360" verticalDpi="360" orientation="portrait" paperSize="9" scale="75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fd1262-e726-4b9f-87c1-7b44bf3d764b}">
  <sheetPr>
    <pageSetUpPr fitToPage="1"/>
  </sheetPr>
  <dimension ref="A1:H63"/>
  <sheetViews>
    <sheetView view="pageBreakPreview" zoomScaleNormal="100" zoomScaleSheetLayoutView="100" workbookViewId="0" topLeftCell="A34">
      <selection pane="topLeft" activeCell="C49" sqref="C49"/>
    </sheetView>
  </sheetViews>
  <sheetFormatPr defaultColWidth="9.184285714285714" defaultRowHeight="12.75" customHeight="1"/>
  <cols>
    <col min="1" max="1" width="5.142857142857143" style="175" customWidth="1"/>
    <col min="2" max="2" width="36.285714285714285" style="175" bestFit="1" customWidth="1"/>
    <col min="3" max="3" width="12" style="175" bestFit="1" customWidth="1"/>
    <col min="4" max="4" width="6.857142857142857" style="175" bestFit="1" customWidth="1"/>
    <col min="5" max="5" width="10.428571428571429" style="175" bestFit="1" customWidth="1"/>
    <col min="6" max="6" width="10.142857142857142" style="175" bestFit="1" customWidth="1"/>
    <col min="7" max="7" width="9.142857142857142" style="175"/>
    <col min="8" max="8" width="9.142857142857142" style="175" customWidth="1"/>
    <col min="9" max="16384" width="9.142857142857142" style="175"/>
  </cols>
  <sheetData>
    <row r="1" spans="1:6" ht="12.75" customHeight="1">
      <c r="A1" s="63" t="str">
        <f>BM!A1</f>
        <v>ESTADO DO PARÁ</v>
      </c>
      <c r="B1" s="63"/>
      <c r="C1" s="63"/>
      <c r="D1" s="145"/>
      <c r="E1" s="146"/>
      <c r="F1" s="146"/>
    </row>
    <row r="2" spans="1:6" ht="12.75" customHeight="1">
      <c r="A2" s="63" t="str">
        <f>BM!A2</f>
        <v>PREFEITURA MUNICIPAL DE TERRA SANTA</v>
      </c>
      <c r="B2" s="2"/>
      <c r="C2" s="2"/>
      <c r="D2" s="2"/>
      <c r="E2" s="2"/>
      <c r="F2" s="2"/>
    </row>
    <row r="3" spans="1:6" ht="12.75" customHeight="1">
      <c r="A3" s="147" t="str">
        <f>BM!A3</f>
        <v>OBRA: PAVIMENTAÇÃO EM CONCRETO DE VIAS URBANAS DO MUNICÍPIO DE TERRA SANTA</v>
      </c>
      <c r="B3" s="147"/>
      <c r="C3" s="147"/>
      <c r="D3" s="2"/>
      <c r="E3" s="2"/>
      <c r="F3" s="2"/>
    </row>
    <row r="4" spans="1:6" ht="12.75" customHeight="1">
      <c r="A4" s="147"/>
      <c r="B4" s="147"/>
      <c r="C4" s="147"/>
      <c r="D4" s="12"/>
      <c r="E4" s="12"/>
      <c r="F4" s="12"/>
    </row>
    <row r="5" spans="1:6" ht="12.75" customHeight="1">
      <c r="A5" s="147"/>
      <c r="B5" s="147"/>
      <c r="C5" s="147"/>
      <c r="D5" s="12"/>
      <c r="E5" s="12"/>
      <c r="F5" s="12"/>
    </row>
    <row r="6" spans="1:6" ht="12.75" customHeight="1">
      <c r="A6" s="6" t="s">
        <v>305</v>
      </c>
      <c r="B6" s="6"/>
      <c r="C6" s="6"/>
      <c r="D6" s="6"/>
      <c r="E6" s="6"/>
      <c r="F6" s="6"/>
    </row>
    <row r="7" spans="1:6" ht="12.75" customHeight="1">
      <c r="A7" s="6"/>
      <c r="B7" s="6"/>
      <c r="C7" s="6"/>
      <c r="D7" s="6"/>
      <c r="E7" s="6"/>
      <c r="F7" s="6"/>
    </row>
    <row r="8" spans="1:6" ht="12.75" customHeight="1">
      <c r="A8" s="28" t="str">
        <f>BM!A13</f>
        <v>1.0</v>
      </c>
      <c r="B8" s="29" t="str">
        <f>BM!B13</f>
        <v>SERVIÇOS PRELIMINARES</v>
      </c>
      <c r="C8" s="29"/>
      <c r="D8" s="29"/>
      <c r="E8" s="29"/>
      <c r="F8" s="29"/>
    </row>
    <row r="9" spans="1:6" ht="12.75" customHeight="1">
      <c r="A9" s="148"/>
      <c r="B9" s="148"/>
      <c r="C9" s="148"/>
      <c r="D9" s="148"/>
      <c r="E9" s="148"/>
      <c r="F9" s="148"/>
    </row>
    <row r="10" spans="1:6" ht="25.5" customHeight="1">
      <c r="A10" s="28" t="str">
        <f>BM!A14</f>
        <v>1.1</v>
      </c>
      <c r="B10" s="149" t="str">
        <f>BM!B14</f>
        <v>EXECUÇÃO DE ALMOXARIFADO EM CANTEIRO DE OBRA EM CHAPA DE MADEIRA COMPENSADA, INCLUSO PRATELEIRAS</v>
      </c>
      <c r="C10" s="150"/>
      <c r="D10" s="150"/>
      <c r="E10" s="151"/>
      <c r="F10" s="63"/>
    </row>
    <row r="11" spans="1:6" ht="12.75" customHeight="1">
      <c r="A11" s="30"/>
      <c r="B11" s="23" t="s">
        <v>306</v>
      </c>
      <c r="C11" s="28" t="s">
        <v>307</v>
      </c>
      <c r="D11" s="28" t="s">
        <v>308</v>
      </c>
      <c r="E11" s="28" t="s">
        <v>309</v>
      </c>
      <c r="F11" s="145"/>
    </row>
    <row r="12" spans="1:6" ht="12.75" customHeight="1">
      <c r="A12" s="30"/>
      <c r="B12" s="152" t="s">
        <v>310</v>
      </c>
      <c r="C12" s="153">
        <v>8</v>
      </c>
      <c r="D12" s="153">
        <v>3</v>
      </c>
      <c r="E12" s="154">
        <f>D12*C12</f>
        <v>24</v>
      </c>
      <c r="F12" s="148"/>
    </row>
    <row r="13" spans="1:6" ht="12.75" customHeight="1">
      <c r="A13" s="28"/>
      <c r="B13" s="155"/>
      <c r="C13" s="52"/>
      <c r="D13" s="53" t="s">
        <v>311</v>
      </c>
      <c r="E13" s="156">
        <f>E12</f>
        <v>24</v>
      </c>
      <c r="F13" s="63"/>
    </row>
    <row r="14" spans="1:6" ht="12.75" customHeight="1">
      <c r="A14" s="157"/>
      <c r="B14" s="148"/>
      <c r="C14" s="148"/>
      <c r="D14" s="148"/>
      <c r="E14" s="148"/>
      <c r="F14" s="148"/>
    </row>
    <row r="15" spans="1:6" ht="12.75" customHeight="1">
      <c r="A15" s="28" t="str">
        <f>BM!A15</f>
        <v>1.2</v>
      </c>
      <c r="B15" s="29" t="str">
        <f>BM!B15</f>
        <v>PLACA DE OBRA EM LONA COM PLOTAGEM DE GRÁFICA</v>
      </c>
      <c r="C15" s="29"/>
      <c r="D15" s="29"/>
      <c r="E15" s="29"/>
      <c r="F15" s="29"/>
    </row>
    <row r="16" spans="1:6" ht="12.75" customHeight="1">
      <c r="A16" s="30"/>
      <c r="B16" s="23" t="s">
        <v>306</v>
      </c>
      <c r="C16" s="28" t="s">
        <v>307</v>
      </c>
      <c r="D16" s="28" t="s">
        <v>308</v>
      </c>
      <c r="E16" s="28" t="s">
        <v>312</v>
      </c>
      <c r="F16" s="23" t="s">
        <v>309</v>
      </c>
    </row>
    <row r="17" spans="1:6" ht="12.75" customHeight="1">
      <c r="A17" s="30"/>
      <c r="B17" s="152" t="s">
        <v>313</v>
      </c>
      <c r="C17" s="153">
        <v>3</v>
      </c>
      <c r="D17" s="153">
        <v>2</v>
      </c>
      <c r="E17" s="158">
        <v>2</v>
      </c>
      <c r="F17" s="154">
        <f>E17*D17*C17</f>
        <v>12</v>
      </c>
    </row>
    <row r="18" spans="1:6" ht="12.75" customHeight="1">
      <c r="A18" s="28"/>
      <c r="B18" s="52"/>
      <c r="C18" s="52"/>
      <c r="D18" s="53"/>
      <c r="E18" s="53" t="s">
        <v>311</v>
      </c>
      <c r="F18" s="156">
        <f>F17</f>
        <v>12</v>
      </c>
    </row>
    <row r="19" spans="1:6" ht="12.75" customHeight="1">
      <c r="A19" s="6"/>
      <c r="B19" s="2"/>
      <c r="C19" s="2"/>
      <c r="D19" s="81"/>
      <c r="E19" s="81"/>
      <c r="F19" s="159"/>
    </row>
    <row r="20" spans="1:6" ht="12.75" customHeight="1">
      <c r="A20" s="28" t="str">
        <f>BM!A16</f>
        <v>1.3</v>
      </c>
      <c r="B20" s="160" t="str">
        <f>BM!B16</f>
        <v>LOCAÇÃO DE PAVIMENTAÇÃO</v>
      </c>
      <c r="C20" s="155"/>
      <c r="D20" s="81"/>
      <c r="E20" s="81"/>
      <c r="F20" s="159"/>
    </row>
    <row r="21" spans="1:6" ht="12.75" customHeight="1">
      <c r="A21" s="30"/>
      <c r="B21" s="23" t="s">
        <v>306</v>
      </c>
      <c r="C21" s="23" t="s">
        <v>309</v>
      </c>
      <c r="D21" s="81"/>
      <c r="E21" s="81"/>
      <c r="F21" s="159"/>
    </row>
    <row r="22" spans="1:6" ht="12.75" customHeight="1">
      <c r="A22" s="30"/>
      <c r="B22" s="152" t="s">
        <v>314</v>
      </c>
      <c r="C22" s="153">
        <f>'VIAS CONTEMPLADAS'!D61</f>
        <v>16272</v>
      </c>
      <c r="D22" s="81"/>
      <c r="E22" s="81"/>
      <c r="F22" s="159"/>
    </row>
    <row r="23" spans="1:6" ht="12.75" customHeight="1">
      <c r="A23" s="28"/>
      <c r="B23" s="53" t="s">
        <v>311</v>
      </c>
      <c r="C23" s="161">
        <f>SUM(C22:C22)</f>
        <v>16272</v>
      </c>
      <c r="D23" s="81"/>
      <c r="E23" s="81"/>
      <c r="F23" s="159"/>
    </row>
    <row r="24" spans="1:6" ht="12.75" customHeight="1">
      <c r="A24" s="6"/>
      <c r="B24" s="81"/>
      <c r="C24" s="162"/>
      <c r="D24" s="81"/>
      <c r="E24" s="81"/>
      <c r="F24" s="159"/>
    </row>
    <row r="25" spans="1:6" ht="12.75" customHeight="1">
      <c r="A25" s="28" t="str">
        <f>BM!A18</f>
        <v>2.0</v>
      </c>
      <c r="B25" s="29" t="str">
        <f>BM!B18</f>
        <v>MOBILIZAÇÃO E DESMOBILIZAÇÃO</v>
      </c>
      <c r="C25" s="29"/>
      <c r="D25" s="29"/>
      <c r="E25" s="29"/>
      <c r="F25" s="29"/>
    </row>
    <row r="26" spans="1:6" ht="12.75" customHeight="1">
      <c r="A26" s="6"/>
      <c r="B26" s="2"/>
      <c r="C26" s="2"/>
      <c r="D26" s="81"/>
      <c r="E26" s="159"/>
      <c r="F26" s="63"/>
    </row>
    <row r="27" spans="1:6" ht="12.75" customHeight="1">
      <c r="A27" s="28" t="str">
        <f>BM!A19</f>
        <v>2.1</v>
      </c>
      <c r="B27" s="29" t="str">
        <f>BM!B19</f>
        <v>MOBILIZAÇÃO</v>
      </c>
      <c r="C27" s="29"/>
      <c r="D27" s="81"/>
      <c r="E27" s="159"/>
      <c r="F27" s="63"/>
    </row>
    <row r="28" spans="1:6" ht="12.75" customHeight="1">
      <c r="A28" s="28"/>
      <c r="B28" s="23" t="s">
        <v>306</v>
      </c>
      <c r="C28" s="28" t="s">
        <v>309</v>
      </c>
      <c r="D28" s="81"/>
      <c r="E28" s="159"/>
      <c r="F28" s="63"/>
    </row>
    <row r="29" spans="1:6" ht="12.75" customHeight="1">
      <c r="A29" s="28"/>
      <c r="B29" s="152" t="s">
        <v>315</v>
      </c>
      <c r="C29" s="163">
        <v>1</v>
      </c>
      <c r="D29" s="81"/>
      <c r="E29" s="159"/>
      <c r="F29" s="63"/>
    </row>
    <row r="30" spans="1:6" ht="12.75" customHeight="1">
      <c r="A30" s="28"/>
      <c r="B30" s="53" t="s">
        <v>311</v>
      </c>
      <c r="C30" s="164">
        <f>C29</f>
        <v>1</v>
      </c>
      <c r="D30" s="81"/>
      <c r="E30" s="159"/>
      <c r="F30" s="63"/>
    </row>
    <row r="31" spans="1:6" ht="12.75" customHeight="1">
      <c r="A31" s="6"/>
      <c r="B31" s="81"/>
      <c r="C31" s="165"/>
      <c r="D31" s="81"/>
      <c r="E31" s="159"/>
      <c r="F31" s="63"/>
    </row>
    <row r="32" spans="1:6" ht="12.75" customHeight="1">
      <c r="A32" s="28" t="str">
        <f>BM!A20</f>
        <v>2.2</v>
      </c>
      <c r="B32" s="29" t="str">
        <f>BM!B20</f>
        <v>DESMOBILIZAÇÃO</v>
      </c>
      <c r="C32" s="29"/>
      <c r="D32" s="81"/>
      <c r="E32" s="159"/>
      <c r="F32" s="63"/>
    </row>
    <row r="33" spans="1:6" ht="12.75" customHeight="1">
      <c r="A33" s="28"/>
      <c r="B33" s="23" t="s">
        <v>306</v>
      </c>
      <c r="C33" s="28" t="s">
        <v>309</v>
      </c>
      <c r="D33" s="81"/>
      <c r="E33" s="159"/>
      <c r="F33" s="63"/>
    </row>
    <row r="34" spans="1:6" ht="12.75" customHeight="1">
      <c r="A34" s="28"/>
      <c r="B34" s="152" t="s">
        <v>316</v>
      </c>
      <c r="C34" s="163">
        <v>1</v>
      </c>
      <c r="D34" s="81"/>
      <c r="E34" s="159"/>
      <c r="F34" s="63"/>
    </row>
    <row r="35" spans="1:6" ht="12.75" customHeight="1">
      <c r="A35" s="28"/>
      <c r="B35" s="53" t="s">
        <v>311</v>
      </c>
      <c r="C35" s="164">
        <f>C34</f>
        <v>1</v>
      </c>
      <c r="D35" s="81"/>
      <c r="E35" s="159"/>
      <c r="F35" s="63"/>
    </row>
    <row r="36" spans="1:6" ht="12.75" customHeight="1">
      <c r="A36" s="6"/>
      <c r="B36" s="2"/>
      <c r="C36" s="2"/>
      <c r="D36" s="81"/>
      <c r="E36" s="81"/>
      <c r="F36" s="159"/>
    </row>
    <row r="37" spans="1:8" ht="12.75" customHeight="1">
      <c r="A37" s="28" t="str">
        <f>BM!A22</f>
        <v>3.0</v>
      </c>
      <c r="B37" s="29" t="str">
        <f>BM!B22</f>
        <v>ADMINISTRAÇÃO LOCAL</v>
      </c>
      <c r="C37" s="29"/>
      <c r="D37" s="29"/>
      <c r="E37" s="29"/>
      <c r="F37" s="29"/>
      <c r="H37" s="166"/>
    </row>
    <row r="38" spans="1:6" ht="12.75" customHeight="1">
      <c r="A38" s="6"/>
      <c r="B38" s="2"/>
      <c r="C38" s="2"/>
      <c r="D38" s="81"/>
      <c r="E38" s="159"/>
      <c r="F38" s="63"/>
    </row>
    <row r="39" spans="1:6" ht="12.75" customHeight="1">
      <c r="A39" s="28" t="str">
        <f>BM!A23</f>
        <v>3.1</v>
      </c>
      <c r="B39" s="29" t="str">
        <f>BM!B23</f>
        <v>EQUIPE TÉCNICA</v>
      </c>
      <c r="C39" s="29"/>
      <c r="D39" s="81"/>
      <c r="E39" s="159"/>
      <c r="F39" s="63"/>
    </row>
    <row r="40" spans="1:6" ht="12.75" customHeight="1">
      <c r="A40" s="28"/>
      <c r="B40" s="23" t="s">
        <v>306</v>
      </c>
      <c r="C40" s="23" t="s">
        <v>309</v>
      </c>
      <c r="D40" s="81"/>
      <c r="E40" s="159"/>
      <c r="F40" s="63"/>
    </row>
    <row r="41" spans="1:6" ht="12.75" customHeight="1">
      <c r="A41" s="28"/>
      <c r="B41" s="152" t="s">
        <v>317</v>
      </c>
      <c r="C41" s="163">
        <v>1</v>
      </c>
      <c r="D41" s="81"/>
      <c r="E41" s="159"/>
      <c r="F41" s="63"/>
    </row>
    <row r="42" spans="1:6" ht="12.75" customHeight="1">
      <c r="A42" s="28"/>
      <c r="B42" s="53" t="s">
        <v>311</v>
      </c>
      <c r="C42" s="164">
        <f>C41</f>
        <v>1</v>
      </c>
      <c r="D42" s="81"/>
      <c r="E42" s="159"/>
      <c r="F42" s="63"/>
    </row>
    <row r="43" spans="1:6" ht="12.75" customHeight="1">
      <c r="A43" s="6"/>
      <c r="B43" s="2"/>
      <c r="C43" s="2"/>
      <c r="D43" s="81"/>
      <c r="E43" s="159"/>
      <c r="F43" s="63"/>
    </row>
    <row r="44" spans="1:6" ht="12.75" customHeight="1">
      <c r="A44" s="28" t="str">
        <f>BM!A25</f>
        <v>4.0</v>
      </c>
      <c r="B44" s="29" t="str">
        <f>BM!B25</f>
        <v>PAVIMENTAÇÃO</v>
      </c>
      <c r="C44" s="29"/>
      <c r="D44" s="29"/>
      <c r="E44" s="29"/>
      <c r="F44" s="29"/>
    </row>
    <row r="45" spans="1:6" ht="12.75" customHeight="1">
      <c r="A45" s="6"/>
      <c r="B45" s="2"/>
      <c r="C45" s="2"/>
      <c r="D45" s="81"/>
      <c r="E45" s="159"/>
      <c r="F45" s="148"/>
    </row>
    <row r="46" spans="1:6" ht="25.5" customHeight="1">
      <c r="A46" s="28" t="str">
        <f>BM!A26</f>
        <v>4.1</v>
      </c>
      <c r="B46" s="149" t="str">
        <f>BM!B26</f>
        <v>PISO EM CONCRETO COM CONCRETO MOLDADO IN LOCO, FEITO EM OBRA, ACABAMENTO CONVENCIONAL, NÃO ARMADO</v>
      </c>
      <c r="C46" s="150"/>
      <c r="D46" s="150"/>
      <c r="E46" s="150"/>
      <c r="F46" s="151"/>
    </row>
    <row r="47" spans="1:6" ht="12.75" customHeight="1">
      <c r="A47" s="28"/>
      <c r="B47" s="167" t="s">
        <v>306</v>
      </c>
      <c r="C47" s="28" t="s">
        <v>307</v>
      </c>
      <c r="D47" s="28" t="s">
        <v>308</v>
      </c>
      <c r="E47" s="28" t="s">
        <v>318</v>
      </c>
      <c r="F47" s="23" t="s">
        <v>309</v>
      </c>
    </row>
    <row r="48" spans="1:6" ht="12.75" customHeight="1">
      <c r="A48" s="28"/>
      <c r="B48" s="152" t="s">
        <v>314</v>
      </c>
      <c r="C48" s="153">
        <f>'VIAS CONTEMPLADAS'!D61-C49</f>
        <v>15072</v>
      </c>
      <c r="D48" s="153">
        <v>7</v>
      </c>
      <c r="E48" s="153">
        <v>0.08</v>
      </c>
      <c r="F48" s="168">
        <f>D48*C48*E48</f>
        <v>8440.32</v>
      </c>
    </row>
    <row r="49" spans="1:6" ht="12.75" customHeight="1">
      <c r="A49" s="28"/>
      <c r="B49" s="152" t="str">
        <f>'VIAS CONTEMPLADAS'!B59</f>
        <v>Estrada Maria Lopes</v>
      </c>
      <c r="C49" s="153">
        <f>'VIAS CONTEMPLADAS'!D59</f>
        <v>1200</v>
      </c>
      <c r="D49" s="153">
        <v>8</v>
      </c>
      <c r="E49" s="153">
        <v>0.08</v>
      </c>
      <c r="F49" s="168">
        <f>D49*C49*E49</f>
        <v>768</v>
      </c>
    </row>
    <row r="50" spans="1:6" ht="12.75" customHeight="1">
      <c r="A50" s="28"/>
      <c r="B50" s="52"/>
      <c r="C50" s="52"/>
      <c r="D50" s="153"/>
      <c r="E50" s="169" t="s">
        <v>311</v>
      </c>
      <c r="F50" s="170">
        <f>F48+F49</f>
        <v>9208.32</v>
      </c>
    </row>
    <row r="51" spans="1:6" ht="12.75" customHeight="1">
      <c r="A51" s="6"/>
      <c r="B51" s="171"/>
      <c r="C51" s="2"/>
      <c r="D51" s="81"/>
      <c r="E51" s="159"/>
      <c r="F51" s="148"/>
    </row>
    <row r="52" spans="1:6" ht="12.75" customHeight="1">
      <c r="A52" s="28" t="str">
        <f>BM!A27</f>
        <v>4.2</v>
      </c>
      <c r="B52" s="39" t="str">
        <f>BM!B27</f>
        <v>MEIO-FIO EM CONCRETO NAS DIMENSÕES 0,30M x 0,12M SEM LÂMINA D'ÁGUA</v>
      </c>
      <c r="C52" s="39"/>
      <c r="D52" s="39"/>
      <c r="E52" s="39"/>
      <c r="F52" s="148"/>
    </row>
    <row r="53" spans="1:6" ht="12.75" customHeight="1">
      <c r="A53" s="28"/>
      <c r="B53" s="172" t="s">
        <v>306</v>
      </c>
      <c r="C53" s="28" t="s">
        <v>307</v>
      </c>
      <c r="D53" s="173" t="s">
        <v>319</v>
      </c>
      <c r="E53" s="23" t="s">
        <v>309</v>
      </c>
      <c r="F53" s="148"/>
    </row>
    <row r="54" spans="1:6" ht="12.75" customHeight="1">
      <c r="A54" s="28"/>
      <c r="B54" s="152" t="s">
        <v>314</v>
      </c>
      <c r="C54" s="153">
        <f>'VIAS CONTEMPLADAS'!D61</f>
        <v>16272</v>
      </c>
      <c r="D54" s="174">
        <v>2</v>
      </c>
      <c r="E54" s="153">
        <f>C54*D54</f>
        <v>32544</v>
      </c>
      <c r="F54" s="148"/>
    </row>
    <row r="55" spans="1:6" ht="12.75" customHeight="1">
      <c r="A55" s="28"/>
      <c r="B55" s="169"/>
      <c r="C55" s="169"/>
      <c r="D55" s="169" t="s">
        <v>311</v>
      </c>
      <c r="E55" s="161">
        <f>SUM(E54:E54)</f>
        <v>32544</v>
      </c>
      <c r="F55" s="148"/>
    </row>
    <row r="56" spans="1:1" ht="12.75" customHeight="1">
      <c r="A56" s="145"/>
    </row>
    <row r="57" spans="1:1" ht="12.75" customHeight="1">
      <c r="A57" s="145"/>
    </row>
    <row r="58" spans="1:1" ht="12.75" customHeight="1">
      <c r="A58" s="145"/>
    </row>
    <row r="59" spans="1:1" ht="12.75" customHeight="1">
      <c r="A59" s="145"/>
    </row>
    <row r="60" spans="1:1" ht="12.75" customHeight="1">
      <c r="A60" s="92"/>
    </row>
    <row r="61" spans="1:1" ht="12.75" customHeight="1">
      <c r="A61" s="103" t="s">
        <v>206</v>
      </c>
    </row>
    <row r="62" spans="1:1" ht="12.75" customHeight="1">
      <c r="A62" s="103" t="s">
        <v>207</v>
      </c>
    </row>
    <row r="63" spans="1:1" ht="12.75" customHeight="1">
      <c r="A63" s="103" t="s">
        <v>208</v>
      </c>
    </row>
  </sheetData>
  <mergeCells count="13">
    <mergeCell ref="A3:C4"/>
    <mergeCell ref="B52:E52"/>
    <mergeCell ref="B46:F46"/>
    <mergeCell ref="B44:F44"/>
    <mergeCell ref="B10:E10"/>
    <mergeCell ref="B15:F15"/>
    <mergeCell ref="B8:F8"/>
    <mergeCell ref="B37:F37"/>
    <mergeCell ref="A6:F6"/>
    <mergeCell ref="B25:F25"/>
    <mergeCell ref="B39:C39"/>
    <mergeCell ref="B27:C27"/>
    <mergeCell ref="B32:C32"/>
  </mergeCells>
  <printOptions horizontalCentered="1"/>
  <pageMargins left="0.31496062992125984" right="0.31496062992125984" top="0.5905511811023623" bottom="0.5905511811023623" header="0.31496062992125984" footer="0.31496062992125984"/>
  <pageSetup horizontalDpi="360" verticalDpi="360" orientation="portrait" paperSize="9" scale="91" r:id="rId2"/>
  <headerFoot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d83d09d-d32b-4a80-bb06-072a4f2e929f}">
  <sheetPr>
    <pageSetUpPr fitToPage="1"/>
  </sheetPr>
  <dimension ref="A1:X29"/>
  <sheetViews>
    <sheetView view="pageBreakPreview" zoomScale="85" zoomScaleNormal="100" zoomScaleSheetLayoutView="85" workbookViewId="0" topLeftCell="A1">
      <selection pane="topLeft" activeCell="M26" sqref="M26"/>
    </sheetView>
  </sheetViews>
  <sheetFormatPr defaultColWidth="24.184285714285714" defaultRowHeight="12.75" customHeight="1"/>
  <cols>
    <col min="1" max="1" width="8" style="175" customWidth="1"/>
    <col min="2" max="2" width="27.857142857142858" style="175" bestFit="1" customWidth="1"/>
    <col min="3" max="3" width="15.714285714285714" style="175" bestFit="1" customWidth="1"/>
    <col min="4" max="4" width="13.714285714285714" style="175" bestFit="1" customWidth="1"/>
    <col min="5" max="5" width="14.428571428571429" style="175" bestFit="1" customWidth="1"/>
    <col min="6" max="20" width="15.285714285714286" style="175" bestFit="1" customWidth="1"/>
    <col min="21" max="21" width="15.714285714285714" style="175" bestFit="1" customWidth="1"/>
    <col min="22" max="22" width="7.571428571428571" style="175" bestFit="1" customWidth="1"/>
    <col min="23" max="139" width="9.142857142857142" style="175" customWidth="1"/>
    <col min="140" max="16384" width="24.142857142857142" style="175"/>
  </cols>
  <sheetData>
    <row r="1" spans="1:24" ht="12.75" customHeight="1">
      <c r="A1" s="63" t="str">
        <f>BM!A1</f>
        <v>ESTADO DO PARÁ</v>
      </c>
      <c r="B1" s="63"/>
      <c r="C1" s="63"/>
      <c r="D1" s="176"/>
      <c r="E1" s="177"/>
      <c r="F1" s="177"/>
      <c r="G1" s="178"/>
      <c r="H1" s="17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79"/>
      <c r="X1" s="179"/>
    </row>
    <row r="2" spans="1:24" ht="12.75" customHeight="1">
      <c r="A2" s="63" t="str">
        <f>BM!A2</f>
        <v>PREFEITURA MUNICIPAL DE TERRA SANTA</v>
      </c>
      <c r="B2" s="2"/>
      <c r="C2" s="2"/>
      <c r="D2" s="2"/>
      <c r="E2" s="2"/>
      <c r="F2" s="2"/>
      <c r="G2" s="7"/>
      <c r="H2" s="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79"/>
      <c r="X2" s="179"/>
    </row>
    <row r="3" spans="1:24" ht="12.75" customHeight="1">
      <c r="A3" s="63" t="str">
        <f>BM!A3</f>
        <v>OBRA: PAVIMENTAÇÃO EM CONCRETO DE VIAS URBANAS DO MUNICÍPIO DE TERRA SANTA</v>
      </c>
      <c r="B3" s="2"/>
      <c r="C3" s="2"/>
      <c r="D3" s="2"/>
      <c r="E3" s="2"/>
      <c r="F3" s="2"/>
      <c r="G3" s="7"/>
      <c r="H3" s="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79"/>
      <c r="X3" s="179"/>
    </row>
    <row r="4" spans="1:24" ht="12.75" customHeight="1">
      <c r="A4" s="2" t="str">
        <f>BM!A7</f>
        <v>CONTRATO: 49/2023</v>
      </c>
      <c r="B4" s="12"/>
      <c r="C4" s="12"/>
      <c r="D4" s="12"/>
      <c r="E4" s="12"/>
      <c r="F4" s="12"/>
      <c r="G4" s="8"/>
      <c r="H4" s="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79"/>
      <c r="X4" s="179"/>
    </row>
    <row r="5" spans="1:24" ht="12.75" customHeight="1">
      <c r="A5" s="2"/>
      <c r="B5" s="12"/>
      <c r="C5" s="12"/>
      <c r="D5" s="12"/>
      <c r="E5" s="12"/>
      <c r="F5" s="12"/>
      <c r="G5" s="8"/>
      <c r="H5" s="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79"/>
      <c r="X5" s="179"/>
    </row>
    <row r="6" spans="1:24" ht="12.75" customHeight="1">
      <c r="A6" s="180" t="s">
        <v>320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79"/>
      <c r="X6" s="179"/>
    </row>
    <row r="7" spans="1:24" ht="12.75" customHeight="1">
      <c r="A7" s="176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79"/>
      <c r="X7" s="179"/>
    </row>
    <row r="8" spans="1:24" ht="12.75" customHeight="1">
      <c r="A8" s="28" t="s">
        <v>9</v>
      </c>
      <c r="B8" s="28" t="s">
        <v>10</v>
      </c>
      <c r="C8" s="28" t="s">
        <v>14</v>
      </c>
      <c r="D8" s="181" t="s">
        <v>321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/>
      <c r="V8" s="28" t="s">
        <v>322</v>
      </c>
      <c r="W8" s="179"/>
      <c r="X8" s="179"/>
    </row>
    <row r="9" spans="1:24" ht="12.75" customHeight="1">
      <c r="A9" s="28"/>
      <c r="B9" s="28"/>
      <c r="C9" s="28"/>
      <c r="D9" s="184">
        <v>30</v>
      </c>
      <c r="E9" s="184">
        <v>60</v>
      </c>
      <c r="F9" s="184">
        <v>90</v>
      </c>
      <c r="G9" s="184">
        <v>120</v>
      </c>
      <c r="H9" s="184">
        <v>150</v>
      </c>
      <c r="I9" s="184">
        <v>180</v>
      </c>
      <c r="J9" s="184">
        <v>210</v>
      </c>
      <c r="K9" s="184">
        <v>240</v>
      </c>
      <c r="L9" s="184">
        <v>270</v>
      </c>
      <c r="M9" s="184">
        <v>300</v>
      </c>
      <c r="N9" s="184">
        <v>330</v>
      </c>
      <c r="O9" s="184">
        <v>360</v>
      </c>
      <c r="P9" s="184">
        <v>390</v>
      </c>
      <c r="Q9" s="184">
        <v>420</v>
      </c>
      <c r="R9" s="184">
        <v>450</v>
      </c>
      <c r="S9" s="184">
        <v>480</v>
      </c>
      <c r="T9" s="184">
        <v>510</v>
      </c>
      <c r="U9" s="184">
        <v>540</v>
      </c>
      <c r="V9" s="28"/>
      <c r="W9" s="179"/>
      <c r="X9" s="179"/>
    </row>
    <row r="10" spans="1:24" ht="12.75" customHeight="1" thickBot="1">
      <c r="A10" s="185" t="str">
        <f>BM!A13</f>
        <v>1.0</v>
      </c>
      <c r="B10" s="34" t="str">
        <f>BM!B13</f>
        <v>SERVIÇOS PRELIMINARES</v>
      </c>
      <c r="C10" s="186">
        <f>BM!F13</f>
        <v>39674.28</v>
      </c>
      <c r="D10" s="187">
        <v>1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9">
        <f>C10/$C$18</f>
        <v>0.0027000000000000001</v>
      </c>
      <c r="W10" s="179"/>
      <c r="X10" s="179"/>
    </row>
    <row r="11" spans="1:24" ht="12.75" customHeight="1" thickTop="1">
      <c r="A11" s="185"/>
      <c r="B11" s="34"/>
      <c r="C11" s="186"/>
      <c r="D11" s="190">
        <f>$C10*D10</f>
        <v>39674.28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89"/>
      <c r="W11" s="179"/>
      <c r="X11" s="179"/>
    </row>
    <row r="12" spans="1:24" ht="12.75" customHeight="1" thickBot="1">
      <c r="A12" s="185" t="str">
        <f>BM!A18</f>
        <v>2.0</v>
      </c>
      <c r="B12" s="34" t="str">
        <f>BM!B18</f>
        <v>MOBILIZAÇÃO E DESMOBILIZAÇÃO</v>
      </c>
      <c r="C12" s="186">
        <f>BM!F18</f>
        <v>118981.26</v>
      </c>
      <c r="D12" s="192">
        <v>0.50</v>
      </c>
      <c r="E12" s="191"/>
      <c r="F12" s="191"/>
      <c r="G12" s="191"/>
      <c r="H12" s="191"/>
      <c r="I12" s="191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>
        <v>0.50</v>
      </c>
      <c r="V12" s="189">
        <f>C12/$C$18</f>
        <v>0.0082000000000000007</v>
      </c>
      <c r="W12" s="179"/>
      <c r="X12" s="179"/>
    </row>
    <row r="13" spans="1:24" ht="12.75" customHeight="1" thickTop="1">
      <c r="A13" s="185"/>
      <c r="B13" s="34"/>
      <c r="C13" s="186"/>
      <c r="D13" s="190">
        <f>$C12*D12</f>
        <v>59490.63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5">
        <f>$C12*U12</f>
        <v>59490.63</v>
      </c>
      <c r="V13" s="189"/>
      <c r="W13" s="179"/>
      <c r="X13" s="179"/>
    </row>
    <row r="14" spans="1:24" ht="12.75" customHeight="1" thickBot="1">
      <c r="A14" s="185" t="str">
        <f>BM!A22</f>
        <v>3.0</v>
      </c>
      <c r="B14" s="34" t="str">
        <f>BM!B22</f>
        <v>ADMINISTRAÇÃO LOCAL</v>
      </c>
      <c r="C14" s="186">
        <f>BM!F22</f>
        <v>209348.82</v>
      </c>
      <c r="D14" s="192">
        <v>0.055399999999999998</v>
      </c>
      <c r="E14" s="194">
        <f>100%/18</f>
        <v>0.055599999999999997</v>
      </c>
      <c r="F14" s="194">
        <f t="shared" si="0" ref="F14:T16">100%/18</f>
        <v>0.055599999999999997</v>
      </c>
      <c r="G14" s="194">
        <f t="shared" si="0"/>
        <v>0.055599999999999997</v>
      </c>
      <c r="H14" s="194">
        <f t="shared" si="0"/>
        <v>0.055599999999999997</v>
      </c>
      <c r="I14" s="194">
        <f t="shared" si="0"/>
        <v>0.055599999999999997</v>
      </c>
      <c r="J14" s="194">
        <f t="shared" si="0"/>
        <v>0.055599999999999997</v>
      </c>
      <c r="K14" s="194">
        <f t="shared" si="0"/>
        <v>0.055599999999999997</v>
      </c>
      <c r="L14" s="194">
        <f t="shared" si="0"/>
        <v>0.055599999999999997</v>
      </c>
      <c r="M14" s="194">
        <f t="shared" si="0"/>
        <v>0.055599999999999997</v>
      </c>
      <c r="N14" s="194">
        <f t="shared" si="0"/>
        <v>0.055599999999999997</v>
      </c>
      <c r="O14" s="194">
        <f t="shared" si="0"/>
        <v>0.055599999999999997</v>
      </c>
      <c r="P14" s="194">
        <f t="shared" si="0"/>
        <v>0.055599999999999997</v>
      </c>
      <c r="Q14" s="194">
        <f t="shared" si="0"/>
        <v>0.055599999999999997</v>
      </c>
      <c r="R14" s="194">
        <f t="shared" si="0"/>
        <v>0.055599999999999997</v>
      </c>
      <c r="S14" s="194">
        <f t="shared" si="0"/>
        <v>0.055599999999999997</v>
      </c>
      <c r="T14" s="194">
        <f t="shared" si="0"/>
        <v>0.055599999999999997</v>
      </c>
      <c r="U14" s="194">
        <v>0.055</v>
      </c>
      <c r="V14" s="189">
        <f>C14/$C$18</f>
        <v>0.0144</v>
      </c>
      <c r="W14" s="179"/>
      <c r="X14" s="179"/>
    </row>
    <row r="15" spans="1:24" ht="12.75" customHeight="1" thickTop="1">
      <c r="A15" s="185"/>
      <c r="B15" s="34"/>
      <c r="C15" s="186"/>
      <c r="D15" s="190">
        <f>$C14*D14</f>
        <v>11597.92</v>
      </c>
      <c r="E15" s="195">
        <f>$C14*E14</f>
        <v>11639.79</v>
      </c>
      <c r="F15" s="195">
        <f t="shared" si="1" ref="F15:I15">$C14*F14</f>
        <v>11639.79</v>
      </c>
      <c r="G15" s="195">
        <f t="shared" si="1"/>
        <v>11639.79</v>
      </c>
      <c r="H15" s="195">
        <f t="shared" si="1"/>
        <v>11639.79</v>
      </c>
      <c r="I15" s="195">
        <f t="shared" si="1"/>
        <v>11639.79</v>
      </c>
      <c r="J15" s="195">
        <f t="shared" si="2" ref="J15">$C14*J14</f>
        <v>11639.79</v>
      </c>
      <c r="K15" s="195">
        <f t="shared" si="3" ref="K15">$C14*K14</f>
        <v>11639.79</v>
      </c>
      <c r="L15" s="195">
        <f t="shared" si="4" ref="L15">$C14*L14</f>
        <v>11639.79</v>
      </c>
      <c r="M15" s="195">
        <f t="shared" si="5" ref="M15">$C14*M14</f>
        <v>11639.79</v>
      </c>
      <c r="N15" s="195">
        <f t="shared" si="6" ref="N15">$C14*N14</f>
        <v>11639.79</v>
      </c>
      <c r="O15" s="195">
        <f t="shared" si="7" ref="O15">$C14*O14</f>
        <v>11639.79</v>
      </c>
      <c r="P15" s="195">
        <f t="shared" si="8" ref="P15">$C14*P14</f>
        <v>11639.79</v>
      </c>
      <c r="Q15" s="195">
        <f t="shared" si="9" ref="Q15">$C14*Q14</f>
        <v>11639.79</v>
      </c>
      <c r="R15" s="195">
        <f t="shared" si="10" ref="R15">$C14*R14</f>
        <v>11639.79</v>
      </c>
      <c r="S15" s="195">
        <f t="shared" si="11" ref="S15">$C14*S14</f>
        <v>11639.79</v>
      </c>
      <c r="T15" s="195">
        <f t="shared" si="12" ref="T15">$C14*T14</f>
        <v>11639.79</v>
      </c>
      <c r="U15" s="195">
        <f t="shared" si="13" ref="U15">$C14*U14</f>
        <v>11514.19</v>
      </c>
      <c r="V15" s="189"/>
      <c r="W15" s="179"/>
      <c r="X15" s="179"/>
    </row>
    <row r="16" spans="1:22" ht="12.75" customHeight="1" thickBot="1">
      <c r="A16" s="185" t="str">
        <f>BM!A25</f>
        <v>4.0</v>
      </c>
      <c r="B16" s="196" t="str">
        <f>BM!B25</f>
        <v>PAVIMENTAÇÃO</v>
      </c>
      <c r="C16" s="197">
        <f>BM!F25</f>
        <v>14167240.449999999</v>
      </c>
      <c r="D16" s="192">
        <v>0.055399999999999998</v>
      </c>
      <c r="E16" s="194">
        <f>100%/18</f>
        <v>0.055599999999999997</v>
      </c>
      <c r="F16" s="194">
        <f t="shared" si="0"/>
        <v>0.055599999999999997</v>
      </c>
      <c r="G16" s="194">
        <f t="shared" si="0"/>
        <v>0.055599999999999997</v>
      </c>
      <c r="H16" s="194">
        <f t="shared" si="0"/>
        <v>0.055599999999999997</v>
      </c>
      <c r="I16" s="194">
        <f t="shared" si="0"/>
        <v>0.055599999999999997</v>
      </c>
      <c r="J16" s="194">
        <f t="shared" si="0"/>
        <v>0.055599999999999997</v>
      </c>
      <c r="K16" s="194">
        <f t="shared" si="0"/>
        <v>0.055599999999999997</v>
      </c>
      <c r="L16" s="194">
        <f t="shared" si="0"/>
        <v>0.055599999999999997</v>
      </c>
      <c r="M16" s="194">
        <f t="shared" si="0"/>
        <v>0.055599999999999997</v>
      </c>
      <c r="N16" s="194">
        <f t="shared" si="0"/>
        <v>0.055599999999999997</v>
      </c>
      <c r="O16" s="194">
        <f t="shared" si="0"/>
        <v>0.055599999999999997</v>
      </c>
      <c r="P16" s="194">
        <f t="shared" si="0"/>
        <v>0.055599999999999997</v>
      </c>
      <c r="Q16" s="194">
        <f t="shared" si="0"/>
        <v>0.055599999999999997</v>
      </c>
      <c r="R16" s="194">
        <f t="shared" si="0"/>
        <v>0.055599999999999997</v>
      </c>
      <c r="S16" s="194">
        <f t="shared" si="0"/>
        <v>0.055599999999999997</v>
      </c>
      <c r="T16" s="194">
        <f t="shared" si="0"/>
        <v>0.055599999999999997</v>
      </c>
      <c r="U16" s="194">
        <v>0.055</v>
      </c>
      <c r="V16" s="189">
        <f>C16/$C$18</f>
        <v>0.97470000000000001</v>
      </c>
    </row>
    <row r="17" spans="1:22" ht="12.75" customHeight="1" thickTop="1">
      <c r="A17" s="185"/>
      <c r="B17" s="198"/>
      <c r="C17" s="199"/>
      <c r="D17" s="190">
        <f>$C16*D16</f>
        <v>784865.12</v>
      </c>
      <c r="E17" s="195">
        <f>$C16*E16</f>
        <v>787698.57</v>
      </c>
      <c r="F17" s="195">
        <f t="shared" si="14" ref="F17">$C16*F16</f>
        <v>787698.57</v>
      </c>
      <c r="G17" s="195">
        <f t="shared" si="15" ref="G17">$C16*G16</f>
        <v>787698.57</v>
      </c>
      <c r="H17" s="195">
        <f t="shared" si="16" ref="H17">$C16*H16</f>
        <v>787698.57</v>
      </c>
      <c r="I17" s="195">
        <f t="shared" si="17" ref="I17">$C16*I16</f>
        <v>787698.57</v>
      </c>
      <c r="J17" s="195">
        <f t="shared" si="18" ref="J17">$C16*J16</f>
        <v>787698.57</v>
      </c>
      <c r="K17" s="195">
        <f t="shared" si="19" ref="K17">$C16*K16</f>
        <v>787698.57</v>
      </c>
      <c r="L17" s="195">
        <f t="shared" si="20" ref="L17">$C16*L16</f>
        <v>787698.57</v>
      </c>
      <c r="M17" s="195">
        <f t="shared" si="21" ref="M17">$C16*M16</f>
        <v>787698.57</v>
      </c>
      <c r="N17" s="195">
        <f t="shared" si="22" ref="N17">$C16*N16</f>
        <v>787698.57</v>
      </c>
      <c r="O17" s="195">
        <f t="shared" si="23" ref="O17">$C16*O16</f>
        <v>787698.57</v>
      </c>
      <c r="P17" s="195">
        <f t="shared" si="24" ref="P17">$C16*P16</f>
        <v>787698.57</v>
      </c>
      <c r="Q17" s="195">
        <f t="shared" si="25" ref="Q17">$C16*Q16</f>
        <v>787698.57</v>
      </c>
      <c r="R17" s="195">
        <f t="shared" si="26" ref="R17">$C16*R16</f>
        <v>787698.57</v>
      </c>
      <c r="S17" s="195">
        <f t="shared" si="27" ref="S17">$C16*S16</f>
        <v>787698.57</v>
      </c>
      <c r="T17" s="195">
        <f t="shared" si="28" ref="T17">$C16*T16</f>
        <v>787698.57</v>
      </c>
      <c r="U17" s="195">
        <f>$C16*U16-0.06</f>
        <v>779198.16</v>
      </c>
      <c r="V17" s="189"/>
    </row>
    <row r="18" spans="1:22" ht="12.75" customHeight="1">
      <c r="A18" s="200"/>
      <c r="B18" s="201" t="s">
        <v>323</v>
      </c>
      <c r="C18" s="202">
        <f>SUM(C10:C17)</f>
        <v>14535244.810000001</v>
      </c>
      <c r="D18" s="203">
        <f t="shared" si="29" ref="D18:I18">SUM(D11,D13,D15,D17)</f>
        <v>895627.95</v>
      </c>
      <c r="E18" s="203">
        <f t="shared" si="29"/>
        <v>799338.36</v>
      </c>
      <c r="F18" s="203">
        <f t="shared" si="29"/>
        <v>799338.36</v>
      </c>
      <c r="G18" s="203">
        <f t="shared" si="29"/>
        <v>799338.36</v>
      </c>
      <c r="H18" s="203">
        <f t="shared" si="29"/>
        <v>799338.36</v>
      </c>
      <c r="I18" s="203">
        <f t="shared" si="29"/>
        <v>799338.36</v>
      </c>
      <c r="J18" s="203">
        <f t="shared" si="30" ref="J18:U18">SUM(J11,J13,J15,J17)</f>
        <v>799338.36</v>
      </c>
      <c r="K18" s="203">
        <f t="shared" si="30"/>
        <v>799338.36</v>
      </c>
      <c r="L18" s="203">
        <f t="shared" si="30"/>
        <v>799338.36</v>
      </c>
      <c r="M18" s="203">
        <f t="shared" si="30"/>
        <v>799338.36</v>
      </c>
      <c r="N18" s="203">
        <f t="shared" si="30"/>
        <v>799338.36</v>
      </c>
      <c r="O18" s="203">
        <f t="shared" si="30"/>
        <v>799338.36</v>
      </c>
      <c r="P18" s="203">
        <f t="shared" si="30"/>
        <v>799338.36</v>
      </c>
      <c r="Q18" s="203">
        <f t="shared" si="30"/>
        <v>799338.36</v>
      </c>
      <c r="R18" s="203">
        <f t="shared" si="30"/>
        <v>799338.36</v>
      </c>
      <c r="S18" s="203">
        <f t="shared" si="30"/>
        <v>799338.36</v>
      </c>
      <c r="T18" s="203">
        <f t="shared" si="30"/>
        <v>799338.36</v>
      </c>
      <c r="U18" s="203">
        <f t="shared" si="30"/>
        <v>850202.98</v>
      </c>
      <c r="V18" s="204">
        <f>SUM(V10:V17)-0.01%</f>
        <v>1</v>
      </c>
    </row>
    <row r="19" spans="1:22" ht="12.75" customHeight="1">
      <c r="A19" s="205"/>
      <c r="B19" s="206" t="s">
        <v>324</v>
      </c>
      <c r="C19" s="207"/>
      <c r="D19" s="208">
        <f>D18/$C$18</f>
        <v>0.061600000000000002</v>
      </c>
      <c r="E19" s="208">
        <f t="shared" si="31" ref="E19:H19">E18/$C$18</f>
        <v>0.055</v>
      </c>
      <c r="F19" s="208">
        <f t="shared" si="31"/>
        <v>0.055</v>
      </c>
      <c r="G19" s="208">
        <f t="shared" si="31"/>
        <v>0.055</v>
      </c>
      <c r="H19" s="208">
        <f t="shared" si="31"/>
        <v>0.055</v>
      </c>
      <c r="I19" s="208">
        <f>I18/$C$18</f>
        <v>0.055</v>
      </c>
      <c r="J19" s="208">
        <f t="shared" si="32" ref="J19:U19">J18/$C$18</f>
        <v>0.055</v>
      </c>
      <c r="K19" s="208">
        <f t="shared" si="32"/>
        <v>0.055</v>
      </c>
      <c r="L19" s="208">
        <f t="shared" si="32"/>
        <v>0.055</v>
      </c>
      <c r="M19" s="208">
        <f t="shared" si="32"/>
        <v>0.055</v>
      </c>
      <c r="N19" s="208">
        <f t="shared" si="32"/>
        <v>0.055</v>
      </c>
      <c r="O19" s="208">
        <f t="shared" si="32"/>
        <v>0.055</v>
      </c>
      <c r="P19" s="208">
        <f t="shared" si="32"/>
        <v>0.055</v>
      </c>
      <c r="Q19" s="208">
        <f t="shared" si="32"/>
        <v>0.055</v>
      </c>
      <c r="R19" s="208">
        <f t="shared" si="32"/>
        <v>0.055</v>
      </c>
      <c r="S19" s="208">
        <f t="shared" si="32"/>
        <v>0.055</v>
      </c>
      <c r="T19" s="208">
        <f t="shared" si="32"/>
        <v>0.055</v>
      </c>
      <c r="U19" s="208">
        <f t="shared" si="32"/>
        <v>0.058500000000000003</v>
      </c>
      <c r="V19" s="209"/>
    </row>
    <row r="20" spans="1:22" ht="12.75" customHeight="1">
      <c r="A20" s="200"/>
      <c r="B20" s="201" t="s">
        <v>325</v>
      </c>
      <c r="C20" s="210"/>
      <c r="D20" s="203">
        <f>D18</f>
        <v>895627.95</v>
      </c>
      <c r="E20" s="203">
        <f t="shared" si="33" ref="E20:H20">D20+E18</f>
        <v>1694966.31</v>
      </c>
      <c r="F20" s="203">
        <f t="shared" si="33"/>
        <v>2494304.67</v>
      </c>
      <c r="G20" s="203">
        <f t="shared" si="33"/>
        <v>3293643.03</v>
      </c>
      <c r="H20" s="203">
        <f t="shared" si="33"/>
        <v>4092981.39</v>
      </c>
      <c r="I20" s="203">
        <f>H20+I18</f>
        <v>4892319.75</v>
      </c>
      <c r="J20" s="203">
        <f t="shared" si="34" ref="J20:U20">I20+J18</f>
        <v>5691658.1100000003</v>
      </c>
      <c r="K20" s="203">
        <f t="shared" si="34"/>
        <v>6490996.4699999997</v>
      </c>
      <c r="L20" s="203">
        <f t="shared" si="34"/>
        <v>7290334.8300000001</v>
      </c>
      <c r="M20" s="203">
        <f t="shared" si="34"/>
        <v>8089673.1900000004</v>
      </c>
      <c r="N20" s="203">
        <f t="shared" si="34"/>
        <v>8889011.5500000007</v>
      </c>
      <c r="O20" s="203">
        <f t="shared" si="34"/>
        <v>9688349.9100000001</v>
      </c>
      <c r="P20" s="203">
        <f t="shared" si="34"/>
        <v>10487688.27</v>
      </c>
      <c r="Q20" s="203">
        <f t="shared" si="34"/>
        <v>11287026.630000001</v>
      </c>
      <c r="R20" s="203">
        <f t="shared" si="34"/>
        <v>12086364.99</v>
      </c>
      <c r="S20" s="203">
        <f t="shared" si="34"/>
        <v>12885703.35</v>
      </c>
      <c r="T20" s="203">
        <f t="shared" si="34"/>
        <v>13685041.710000001</v>
      </c>
      <c r="U20" s="202">
        <f t="shared" si="34"/>
        <v>14535244.689999999</v>
      </c>
      <c r="V20" s="200"/>
    </row>
    <row r="21" spans="1:22" ht="12.75" customHeight="1">
      <c r="A21" s="200"/>
      <c r="B21" s="201" t="s">
        <v>326</v>
      </c>
      <c r="C21" s="200"/>
      <c r="D21" s="211">
        <f>D19</f>
        <v>0.061600000000000002</v>
      </c>
      <c r="E21" s="211">
        <f>D21+E19</f>
        <v>0.1166</v>
      </c>
      <c r="F21" s="211">
        <f t="shared" si="35" ref="F21:H21">E21+F19</f>
        <v>0.1716</v>
      </c>
      <c r="G21" s="211">
        <f t="shared" si="35"/>
        <v>0.2266</v>
      </c>
      <c r="H21" s="211">
        <f t="shared" si="35"/>
        <v>0.28160000000000002</v>
      </c>
      <c r="I21" s="211">
        <f>H21+I19</f>
        <v>0.33660000000000001</v>
      </c>
      <c r="J21" s="211">
        <f t="shared" si="36" ref="J21:U21">I21+J19</f>
        <v>0.3916</v>
      </c>
      <c r="K21" s="211">
        <f t="shared" si="36"/>
        <v>0.4466</v>
      </c>
      <c r="L21" s="211">
        <f t="shared" si="36"/>
        <v>0.50160000000000005</v>
      </c>
      <c r="M21" s="211">
        <f t="shared" si="36"/>
        <v>0.55659999999999998</v>
      </c>
      <c r="N21" s="211">
        <f t="shared" si="36"/>
        <v>0.61160000000000003</v>
      </c>
      <c r="O21" s="211">
        <f t="shared" si="36"/>
        <v>0.66659999999999997</v>
      </c>
      <c r="P21" s="211">
        <f t="shared" si="36"/>
        <v>0.72160000000000002</v>
      </c>
      <c r="Q21" s="211">
        <f t="shared" si="36"/>
        <v>0.77659999999999996</v>
      </c>
      <c r="R21" s="211">
        <f t="shared" si="36"/>
        <v>0.83160000000000001</v>
      </c>
      <c r="S21" s="211">
        <f t="shared" si="36"/>
        <v>0.88660000000000005</v>
      </c>
      <c r="T21" s="211">
        <f t="shared" si="36"/>
        <v>0.94159999999999999</v>
      </c>
      <c r="U21" s="212">
        <f t="shared" si="36"/>
        <v>1.0001</v>
      </c>
      <c r="V21" s="200"/>
    </row>
    <row r="22" spans="1:22" ht="12.75" customHeight="1">
      <c r="A22" s="145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2" ht="12.75" customHeight="1">
      <c r="A23" s="145"/>
      <c r="B23" s="148"/>
      <c r="C23" s="213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</row>
    <row r="24" spans="1:22" ht="12.75" customHeight="1">
      <c r="A24" s="145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2" ht="12.75" customHeight="1">
      <c r="A25" s="145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2" ht="12.75" customHeight="1">
      <c r="A26" s="92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</row>
    <row r="27" spans="1:22" ht="12.75" customHeight="1">
      <c r="A27" s="103" t="s">
        <v>206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</row>
    <row r="28" spans="1:22" ht="12.75" customHeight="1">
      <c r="A28" s="103" t="s">
        <v>207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</row>
    <row r="29" spans="1:22" ht="12.75" customHeight="1">
      <c r="A29" s="103" t="s">
        <v>208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</row>
  </sheetData>
  <mergeCells count="22">
    <mergeCell ref="V16:V17"/>
    <mergeCell ref="A16:A17"/>
    <mergeCell ref="B16:B17"/>
    <mergeCell ref="C16:C17"/>
    <mergeCell ref="A10:A11"/>
    <mergeCell ref="B10:B11"/>
    <mergeCell ref="C10:C11"/>
    <mergeCell ref="V10:V11"/>
    <mergeCell ref="A14:A15"/>
    <mergeCell ref="B14:B15"/>
    <mergeCell ref="C14:C15"/>
    <mergeCell ref="V14:V15"/>
    <mergeCell ref="A12:A13"/>
    <mergeCell ref="B12:B13"/>
    <mergeCell ref="C12:C13"/>
    <mergeCell ref="V12:V13"/>
    <mergeCell ref="A6:V6"/>
    <mergeCell ref="A8:A9"/>
    <mergeCell ref="B8:B9"/>
    <mergeCell ref="C8:C9"/>
    <mergeCell ref="V8:V9"/>
    <mergeCell ref="D8:U8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8" scale="40" r:id="rId2"/>
  <headerFooter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8b2970-4f57-4be8-ab32-9520428379f7}">
  <sheetPr>
    <pageSetUpPr fitToPage="1"/>
  </sheetPr>
  <dimension ref="A1:D43"/>
  <sheetViews>
    <sheetView view="pageBreakPreview" zoomScaleNormal="100" zoomScaleSheetLayoutView="100" workbookViewId="0" topLeftCell="A1">
      <selection pane="topLeft" activeCell="A7" sqref="A7"/>
    </sheetView>
  </sheetViews>
  <sheetFormatPr defaultColWidth="25.814285714285717" defaultRowHeight="13" customHeight="1"/>
  <cols>
    <col min="1" max="1" width="5.571428571428571" style="235" customWidth="1"/>
    <col min="2" max="2" width="35.142857142857146" style="92" customWidth="1"/>
    <col min="3" max="3" width="25.857142857142858" style="92"/>
    <col min="4" max="126" width="9.142857142857142" style="92" customWidth="1"/>
    <col min="127" max="16384" width="25.857142857142858" style="92"/>
  </cols>
  <sheetData>
    <row r="1" spans="1:3" ht="13">
      <c r="A1" s="2" t="str">
        <f>BM!A1</f>
        <v>ESTADO DO PARÁ</v>
      </c>
      <c r="B1" s="2"/>
      <c r="C1" s="2"/>
    </row>
    <row r="2" spans="1:3" ht="13">
      <c r="A2" s="2" t="str">
        <f>BM!A2</f>
        <v>PREFEITURA MUNICIPAL DE TERRA SANTA</v>
      </c>
      <c r="B2" s="2"/>
      <c r="C2" s="2"/>
    </row>
    <row r="3" spans="1:3" ht="13">
      <c r="A3" s="214" t="str">
        <f>BM!A3</f>
        <v>OBRA: PAVIMENTAÇÃO EM CONCRETO DE VIAS URBANAS DO MUNICÍPIO DE TERRA SANTA</v>
      </c>
      <c r="B3" s="214"/>
      <c r="C3" s="171"/>
    </row>
    <row r="4" spans="1:3" ht="13">
      <c r="A4" s="214"/>
      <c r="B4" s="214"/>
      <c r="C4" s="215"/>
    </row>
    <row r="5" spans="1:3" ht="13">
      <c r="A5" s="214"/>
      <c r="B5" s="214"/>
      <c r="C5" s="215"/>
    </row>
    <row r="6" spans="1:3" ht="13">
      <c r="A6" s="216" t="s">
        <v>327</v>
      </c>
      <c r="B6" s="216"/>
      <c r="C6" s="216"/>
    </row>
    <row r="7" spans="1:3" ht="13">
      <c r="A7" s="217"/>
      <c r="B7" s="218"/>
      <c r="C7" s="218"/>
    </row>
    <row r="8" spans="1:3" ht="13">
      <c r="A8" s="219" t="s">
        <v>20</v>
      </c>
      <c r="B8" s="220" t="s">
        <v>328</v>
      </c>
      <c r="C8" s="221">
        <f>SUM(C9:C12)</f>
        <v>0.056399999999999999</v>
      </c>
    </row>
    <row r="9" spans="1:3" ht="13">
      <c r="A9" s="222" t="s">
        <v>22</v>
      </c>
      <c r="B9" s="223" t="s">
        <v>329</v>
      </c>
      <c r="C9" s="224">
        <v>0.037999999999999999</v>
      </c>
    </row>
    <row r="10" spans="1:3" ht="13">
      <c r="A10" s="222" t="s">
        <v>25</v>
      </c>
      <c r="B10" s="223" t="s">
        <v>330</v>
      </c>
      <c r="C10" s="224">
        <v>0.0032000000000000002</v>
      </c>
    </row>
    <row r="11" spans="1:3" ht="13">
      <c r="A11" s="222" t="s">
        <v>27</v>
      </c>
      <c r="B11" s="223" t="s">
        <v>331</v>
      </c>
      <c r="C11" s="224">
        <v>0.0050000000000000001</v>
      </c>
    </row>
    <row r="12" spans="1:3" ht="13">
      <c r="A12" s="222" t="s">
        <v>332</v>
      </c>
      <c r="B12" s="223" t="s">
        <v>333</v>
      </c>
      <c r="C12" s="224">
        <v>0.010200000000000001</v>
      </c>
    </row>
    <row r="13" spans="1:3" ht="13">
      <c r="A13" s="222"/>
      <c r="B13" s="223"/>
      <c r="C13" s="225"/>
    </row>
    <row r="14" spans="1:3" ht="13">
      <c r="A14" s="219" t="s">
        <v>30</v>
      </c>
      <c r="B14" s="220" t="s">
        <v>334</v>
      </c>
      <c r="C14" s="221">
        <f>SUM(C15:C18)</f>
        <v>0.086499999999999994</v>
      </c>
    </row>
    <row r="15" spans="1:3" ht="13">
      <c r="A15" s="222" t="s">
        <v>32</v>
      </c>
      <c r="B15" s="223" t="s">
        <v>335</v>
      </c>
      <c r="C15" s="224">
        <v>0.0064999999999999997</v>
      </c>
    </row>
    <row r="16" spans="1:4" ht="13">
      <c r="A16" s="222" t="s">
        <v>35</v>
      </c>
      <c r="B16" s="223" t="s">
        <v>336</v>
      </c>
      <c r="C16" s="224">
        <v>0.03</v>
      </c>
      <c r="D16" s="65"/>
    </row>
    <row r="17" spans="1:4" ht="13">
      <c r="A17" s="222" t="s">
        <v>337</v>
      </c>
      <c r="B17" s="223" t="s">
        <v>338</v>
      </c>
      <c r="C17" s="224">
        <v>0.05</v>
      </c>
      <c r="D17" s="65"/>
    </row>
    <row r="18" spans="1:4" ht="13">
      <c r="A18" s="222" t="s">
        <v>339</v>
      </c>
      <c r="B18" s="223" t="s">
        <v>340</v>
      </c>
      <c r="C18" s="224">
        <v>0</v>
      </c>
      <c r="D18" s="65"/>
    </row>
    <row r="19" spans="1:4" ht="13">
      <c r="A19" s="222"/>
      <c r="B19" s="223"/>
      <c r="C19" s="223"/>
      <c r="D19" s="65"/>
    </row>
    <row r="20" spans="1:4" ht="13">
      <c r="A20" s="219" t="s">
        <v>37</v>
      </c>
      <c r="B20" s="220" t="s">
        <v>341</v>
      </c>
      <c r="C20" s="221">
        <f>C21</f>
        <v>0.066400000000000001</v>
      </c>
      <c r="D20" s="65"/>
    </row>
    <row r="21" spans="1:4" ht="13">
      <c r="A21" s="222" t="s">
        <v>39</v>
      </c>
      <c r="B21" s="223" t="s">
        <v>342</v>
      </c>
      <c r="C21" s="224">
        <v>0.066400000000000001</v>
      </c>
      <c r="D21" s="12"/>
    </row>
    <row r="22" spans="1:4" ht="13">
      <c r="A22" s="222"/>
      <c r="B22" s="223"/>
      <c r="C22" s="224"/>
      <c r="D22" s="65"/>
    </row>
    <row r="23" spans="1:4" ht="13">
      <c r="A23" s="219" t="s">
        <v>41</v>
      </c>
      <c r="B23" s="226" t="s">
        <v>343</v>
      </c>
      <c r="C23" s="227">
        <f>(((1+C9+C10+C11)*(1+C12)*(1+C20))/(1-C14))-1</f>
        <v>0.23380000000000001</v>
      </c>
      <c r="D23" s="228"/>
    </row>
    <row r="24" spans="1:4" ht="13">
      <c r="A24" s="229"/>
      <c r="B24" s="230"/>
      <c r="C24" s="230"/>
      <c r="D24" s="65"/>
    </row>
    <row r="25" spans="1:4" ht="13">
      <c r="A25" s="231" t="s">
        <v>344</v>
      </c>
      <c r="B25" s="231"/>
      <c r="C25" s="231"/>
      <c r="D25" s="65"/>
    </row>
    <row r="26" spans="1:4" ht="13">
      <c r="A26" s="229"/>
      <c r="B26" s="230"/>
      <c r="C26" s="230"/>
      <c r="D26" s="65"/>
    </row>
    <row r="27" spans="1:4" ht="13">
      <c r="A27" s="229"/>
      <c r="B27" s="65"/>
      <c r="C27" s="230"/>
      <c r="D27" s="65"/>
    </row>
    <row r="28" spans="1:4" ht="13">
      <c r="A28" s="229"/>
      <c r="B28" s="230"/>
      <c r="C28" s="230"/>
      <c r="D28" s="65"/>
    </row>
    <row r="29" spans="1:4" ht="13">
      <c r="A29" s="232" t="s">
        <v>345</v>
      </c>
      <c r="B29" s="230"/>
      <c r="C29" s="230"/>
      <c r="D29" s="65"/>
    </row>
    <row r="30" spans="1:4" ht="13">
      <c r="A30" s="233" t="s">
        <v>346</v>
      </c>
      <c r="B30" s="230"/>
      <c r="C30" s="230"/>
      <c r="D30" s="65"/>
    </row>
    <row r="31" spans="1:4" ht="13">
      <c r="A31" s="233" t="s">
        <v>347</v>
      </c>
      <c r="B31" s="230"/>
      <c r="C31" s="230"/>
      <c r="D31" s="65"/>
    </row>
    <row r="32" spans="1:3" ht="13">
      <c r="A32" s="233" t="s">
        <v>348</v>
      </c>
      <c r="B32" s="230"/>
      <c r="C32" s="230"/>
    </row>
    <row r="33" spans="1:3" ht="13">
      <c r="A33" s="233" t="s">
        <v>349</v>
      </c>
      <c r="B33" s="230"/>
      <c r="C33" s="230"/>
    </row>
    <row r="34" spans="1:3" ht="13">
      <c r="A34" s="233" t="s">
        <v>350</v>
      </c>
      <c r="B34" s="234"/>
      <c r="C34" s="234"/>
    </row>
    <row r="35" spans="1:3" ht="13">
      <c r="A35" s="233" t="s">
        <v>351</v>
      </c>
      <c r="B35" s="65"/>
      <c r="C35" s="65"/>
    </row>
    <row r="36" spans="1:1" ht="13">
      <c r="A36" s="145"/>
    </row>
    <row r="37" spans="1:1" ht="13">
      <c r="A37" s="145"/>
    </row>
    <row r="38" spans="1:1" ht="13">
      <c r="A38" s="145"/>
    </row>
    <row r="39" spans="1:1" ht="13">
      <c r="A39" s="145"/>
    </row>
    <row r="40" spans="1:1" ht="13">
      <c r="A40" s="145"/>
    </row>
    <row r="41" spans="1:1" ht="13">
      <c r="A41" s="103" t="s">
        <v>206</v>
      </c>
    </row>
    <row r="42" spans="1:1" ht="13">
      <c r="A42" s="103" t="s">
        <v>207</v>
      </c>
    </row>
    <row r="43" spans="1:1" ht="13">
      <c r="A43" s="103" t="s">
        <v>208</v>
      </c>
    </row>
  </sheetData>
  <mergeCells count="3">
    <mergeCell ref="A25:C25"/>
    <mergeCell ref="A6:C6"/>
    <mergeCell ref="A3:B4"/>
  </mergeCells>
  <printOptions horizontalCentered="1"/>
  <pageMargins left="0.31496062992125984" right="0.31496062992125984" top="0.5905511811023623" bottom="0.5905511811023623" header="0.31496062992125984" footer="0.31496062992125984"/>
  <pageSetup horizontalDpi="360" verticalDpi="360" orientation="portrait" paperSize="9" r:id="rId2"/>
  <headerFooter>
    <oddFooter>&amp;CPágina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bb3abb8-c69f-496c-9e1e-3e633fc6ab7d}">
  <sheetPr>
    <pageSetUpPr fitToPage="1"/>
  </sheetPr>
  <dimension ref="A1:D51"/>
  <sheetViews>
    <sheetView view="pageBreakPreview" zoomScaleNormal="100" zoomScaleSheetLayoutView="100" workbookViewId="0" topLeftCell="A1">
      <selection pane="topLeft" activeCell="A7" sqref="A7"/>
    </sheetView>
  </sheetViews>
  <sheetFormatPr defaultColWidth="9.184285714285714" defaultRowHeight="12.75" customHeight="1"/>
  <cols>
    <col min="1" max="1" width="5.571428571428571" style="175" customWidth="1"/>
    <col min="2" max="2" width="29.857142857142858" style="175" customWidth="1"/>
    <col min="3" max="4" width="15.714285714285714" style="175" customWidth="1"/>
    <col min="5" max="16384" width="9.142857142857142" style="175"/>
  </cols>
  <sheetData>
    <row r="1" spans="1:4" ht="12.75" customHeight="1">
      <c r="A1" s="2" t="str">
        <f>BM!A1</f>
        <v>ESTADO DO PARÁ</v>
      </c>
      <c r="B1" s="2"/>
      <c r="C1" s="2"/>
      <c r="D1" s="2"/>
    </row>
    <row r="2" spans="1:4" ht="12.75" customHeight="1">
      <c r="A2" s="2" t="str">
        <f>BM!A2</f>
        <v>PREFEITURA MUNICIPAL DE TERRA SANTA</v>
      </c>
      <c r="B2" s="2"/>
      <c r="C2" s="2"/>
      <c r="D2" s="2"/>
    </row>
    <row r="3" spans="1:4" ht="12.75" customHeight="1">
      <c r="A3" s="214" t="str">
        <f>BM!A3</f>
        <v>OBRA: PAVIMENTAÇÃO EM CONCRETO DE VIAS URBANAS DO MUNICÍPIO DE TERRA SANTA</v>
      </c>
      <c r="B3" s="214"/>
      <c r="C3" s="171"/>
      <c r="D3" s="171"/>
    </row>
    <row r="4" spans="1:4" ht="12.75" customHeight="1">
      <c r="A4" s="214"/>
      <c r="B4" s="214"/>
      <c r="C4" s="2"/>
      <c r="D4" s="2"/>
    </row>
    <row r="5" spans="1:4" ht="12.75" customHeight="1">
      <c r="A5" s="214"/>
      <c r="B5" s="214"/>
      <c r="C5" s="2"/>
      <c r="D5" s="2"/>
    </row>
    <row r="6" spans="1:4" ht="12.75" customHeight="1">
      <c r="A6" s="6" t="s">
        <v>352</v>
      </c>
      <c r="B6" s="6"/>
      <c r="C6" s="6"/>
      <c r="D6" s="6"/>
    </row>
    <row r="7" spans="1:4" ht="12.75" customHeight="1">
      <c r="A7" s="236"/>
      <c r="B7" s="236"/>
      <c r="C7" s="236"/>
      <c r="D7" s="236"/>
    </row>
    <row r="8" spans="1:4" ht="12.75" customHeight="1">
      <c r="A8" s="237" t="s">
        <v>169</v>
      </c>
      <c r="B8" s="238" t="s">
        <v>10</v>
      </c>
      <c r="C8" s="237" t="s">
        <v>353</v>
      </c>
      <c r="D8" s="239" t="s">
        <v>354</v>
      </c>
    </row>
    <row r="9" spans="1:4" ht="12.75" customHeight="1">
      <c r="A9" s="238" t="s">
        <v>355</v>
      </c>
      <c r="B9" s="240"/>
      <c r="C9" s="240"/>
      <c r="D9" s="241"/>
    </row>
    <row r="10" spans="1:4" ht="12.75" customHeight="1">
      <c r="A10" s="242" t="s">
        <v>356</v>
      </c>
      <c r="B10" s="243" t="s">
        <v>357</v>
      </c>
      <c r="C10" s="244">
        <v>0.20</v>
      </c>
      <c r="D10" s="244">
        <v>0.20</v>
      </c>
    </row>
    <row r="11" spans="1:4" ht="12.75" customHeight="1">
      <c r="A11" s="242" t="s">
        <v>358</v>
      </c>
      <c r="B11" s="243" t="s">
        <v>359</v>
      </c>
      <c r="C11" s="244">
        <v>0.014999999999999999</v>
      </c>
      <c r="D11" s="244">
        <v>0.014999999999999999</v>
      </c>
    </row>
    <row r="12" spans="1:4" ht="12.75" customHeight="1">
      <c r="A12" s="242" t="s">
        <v>360</v>
      </c>
      <c r="B12" s="243" t="s">
        <v>361</v>
      </c>
      <c r="C12" s="244">
        <v>0.01</v>
      </c>
      <c r="D12" s="244">
        <v>0.01</v>
      </c>
    </row>
    <row r="13" spans="1:4" ht="12.75" customHeight="1">
      <c r="A13" s="242" t="s">
        <v>362</v>
      </c>
      <c r="B13" s="243" t="s">
        <v>363</v>
      </c>
      <c r="C13" s="244">
        <v>0.002</v>
      </c>
      <c r="D13" s="244">
        <v>0.002</v>
      </c>
    </row>
    <row r="14" spans="1:4" ht="12.75" customHeight="1">
      <c r="A14" s="242" t="s">
        <v>364</v>
      </c>
      <c r="B14" s="243" t="s">
        <v>365</v>
      </c>
      <c r="C14" s="244">
        <v>0.0060000000000000001</v>
      </c>
      <c r="D14" s="244">
        <v>0.0060000000000000001</v>
      </c>
    </row>
    <row r="15" spans="1:4" ht="12.75" customHeight="1">
      <c r="A15" s="242" t="s">
        <v>366</v>
      </c>
      <c r="B15" s="243" t="s">
        <v>367</v>
      </c>
      <c r="C15" s="244">
        <v>0.025000000000000001</v>
      </c>
      <c r="D15" s="244">
        <v>0.025000000000000001</v>
      </c>
    </row>
    <row r="16" spans="1:4" ht="12.75" customHeight="1">
      <c r="A16" s="242" t="s">
        <v>368</v>
      </c>
      <c r="B16" s="243" t="s">
        <v>369</v>
      </c>
      <c r="C16" s="244">
        <v>0.03</v>
      </c>
      <c r="D16" s="244">
        <v>0.03</v>
      </c>
    </row>
    <row r="17" spans="1:4" ht="12.75" customHeight="1">
      <c r="A17" s="242" t="s">
        <v>370</v>
      </c>
      <c r="B17" s="243" t="s">
        <v>371</v>
      </c>
      <c r="C17" s="244">
        <v>0.08</v>
      </c>
      <c r="D17" s="244">
        <v>0.08</v>
      </c>
    </row>
    <row r="18" spans="1:4" ht="12.75" customHeight="1">
      <c r="A18" s="242" t="s">
        <v>372</v>
      </c>
      <c r="B18" s="243" t="s">
        <v>373</v>
      </c>
      <c r="C18" s="244">
        <v>0</v>
      </c>
      <c r="D18" s="244">
        <v>0</v>
      </c>
    </row>
    <row r="19" spans="1:4" ht="12.75" customHeight="1">
      <c r="A19" s="245" t="s">
        <v>374</v>
      </c>
      <c r="B19" s="246" t="s">
        <v>304</v>
      </c>
      <c r="C19" s="247">
        <f>SUM(C10:C18)</f>
        <v>0.36799999999999999</v>
      </c>
      <c r="D19" s="247">
        <f>SUM(D10:D18)</f>
        <v>0.36799999999999999</v>
      </c>
    </row>
    <row r="20" spans="1:4" ht="12.75" customHeight="1">
      <c r="A20" s="248" t="s">
        <v>375</v>
      </c>
      <c r="B20" s="249"/>
      <c r="C20" s="249"/>
      <c r="D20" s="250"/>
    </row>
    <row r="21" spans="1:4" ht="12.75" customHeight="1">
      <c r="A21" s="251" t="s">
        <v>376</v>
      </c>
      <c r="B21" s="252" t="s">
        <v>377</v>
      </c>
      <c r="C21" s="253">
        <v>0.1812</v>
      </c>
      <c r="D21" s="253" t="s">
        <v>378</v>
      </c>
    </row>
    <row r="22" spans="1:4" ht="12.75" customHeight="1">
      <c r="A22" s="242" t="s">
        <v>379</v>
      </c>
      <c r="B22" s="254" t="s">
        <v>380</v>
      </c>
      <c r="C22" s="244">
        <v>0.041500000000000002</v>
      </c>
      <c r="D22" s="244" t="s">
        <v>378</v>
      </c>
    </row>
    <row r="23" spans="1:4" ht="12.75" customHeight="1">
      <c r="A23" s="251" t="s">
        <v>381</v>
      </c>
      <c r="B23" s="254" t="s">
        <v>382</v>
      </c>
      <c r="C23" s="244">
        <v>0.0088000000000000005</v>
      </c>
      <c r="D23" s="244">
        <v>0.0066</v>
      </c>
    </row>
    <row r="24" spans="1:4" ht="12.75" customHeight="1">
      <c r="A24" s="242" t="s">
        <v>383</v>
      </c>
      <c r="B24" s="254" t="s">
        <v>384</v>
      </c>
      <c r="C24" s="244">
        <v>0.1116</v>
      </c>
      <c r="D24" s="244">
        <v>0.083299999999999999</v>
      </c>
    </row>
    <row r="25" spans="1:4" ht="12.75" customHeight="1">
      <c r="A25" s="251" t="s">
        <v>385</v>
      </c>
      <c r="B25" s="254" t="s">
        <v>386</v>
      </c>
      <c r="C25" s="244">
        <v>0.00069999999999999999</v>
      </c>
      <c r="D25" s="244">
        <v>0.00050000000000000001</v>
      </c>
    </row>
    <row r="26" spans="1:4" ht="12.75" customHeight="1">
      <c r="A26" s="242" t="s">
        <v>387</v>
      </c>
      <c r="B26" s="254" t="s">
        <v>388</v>
      </c>
      <c r="C26" s="244">
        <v>0.0074000000000000003</v>
      </c>
      <c r="D26" s="244">
        <v>0.0055999999999999999</v>
      </c>
    </row>
    <row r="27" spans="1:4" ht="12.75" customHeight="1">
      <c r="A27" s="251" t="s">
        <v>389</v>
      </c>
      <c r="B27" s="254" t="s">
        <v>390</v>
      </c>
      <c r="C27" s="244">
        <v>0.027300000000000001</v>
      </c>
      <c r="D27" s="244" t="s">
        <v>378</v>
      </c>
    </row>
    <row r="28" spans="1:4" ht="12.75" customHeight="1">
      <c r="A28" s="242" t="s">
        <v>391</v>
      </c>
      <c r="B28" s="254" t="s">
        <v>392</v>
      </c>
      <c r="C28" s="244">
        <v>0.0011000000000000001</v>
      </c>
      <c r="D28" s="244">
        <v>0.00080000000000000004</v>
      </c>
    </row>
    <row r="29" spans="1:4" ht="12.75" customHeight="1">
      <c r="A29" s="251" t="s">
        <v>393</v>
      </c>
      <c r="B29" s="254" t="s">
        <v>394</v>
      </c>
      <c r="C29" s="244">
        <v>0.12089999999999999</v>
      </c>
      <c r="D29" s="244">
        <v>0.090200000000000002</v>
      </c>
    </row>
    <row r="30" spans="1:4" ht="12.75" customHeight="1">
      <c r="A30" s="242" t="s">
        <v>395</v>
      </c>
      <c r="B30" s="254" t="s">
        <v>396</v>
      </c>
      <c r="C30" s="244">
        <v>0.00040000000000000002</v>
      </c>
      <c r="D30" s="244">
        <v>0.00029999999999999997</v>
      </c>
    </row>
    <row r="31" spans="1:4" ht="12.75" customHeight="1">
      <c r="A31" s="245" t="s">
        <v>397</v>
      </c>
      <c r="B31" s="255" t="s">
        <v>304</v>
      </c>
      <c r="C31" s="247">
        <f>SUM(C21:C30)</f>
        <v>0.50090000000000001</v>
      </c>
      <c r="D31" s="247">
        <f>SUM(D21:D30)</f>
        <v>0.18729999999999999</v>
      </c>
    </row>
    <row r="32" spans="1:4" ht="12.75" customHeight="1">
      <c r="A32" s="248" t="s">
        <v>398</v>
      </c>
      <c r="B32" s="249"/>
      <c r="C32" s="249"/>
      <c r="D32" s="250"/>
    </row>
    <row r="33" spans="1:4" ht="12.75" customHeight="1">
      <c r="A33" s="251" t="s">
        <v>399</v>
      </c>
      <c r="B33" s="252" t="s">
        <v>400</v>
      </c>
      <c r="C33" s="253">
        <v>0.057799999999999997</v>
      </c>
      <c r="D33" s="253">
        <v>0.043200000000000002</v>
      </c>
    </row>
    <row r="34" spans="1:4" ht="12.75" customHeight="1">
      <c r="A34" s="251" t="s">
        <v>401</v>
      </c>
      <c r="B34" s="252" t="s">
        <v>402</v>
      </c>
      <c r="C34" s="253">
        <v>0.0014</v>
      </c>
      <c r="D34" s="253">
        <v>0.001</v>
      </c>
    </row>
    <row r="35" spans="1:4" ht="12.75" customHeight="1">
      <c r="A35" s="251" t="s">
        <v>403</v>
      </c>
      <c r="B35" s="252" t="s">
        <v>404</v>
      </c>
      <c r="C35" s="253">
        <v>0.025000000000000001</v>
      </c>
      <c r="D35" s="253">
        <v>0.018700000000000001</v>
      </c>
    </row>
    <row r="36" spans="1:4" ht="12.75" customHeight="1">
      <c r="A36" s="251" t="s">
        <v>405</v>
      </c>
      <c r="B36" s="252" t="s">
        <v>406</v>
      </c>
      <c r="C36" s="253">
        <v>0.031099999999999999</v>
      </c>
      <c r="D36" s="253">
        <v>0.023199999999999998</v>
      </c>
    </row>
    <row r="37" spans="1:4" ht="12.75" customHeight="1">
      <c r="A37" s="251" t="s">
        <v>407</v>
      </c>
      <c r="B37" s="252" t="s">
        <v>408</v>
      </c>
      <c r="C37" s="253">
        <v>0.0048999999999999998</v>
      </c>
      <c r="D37" s="253">
        <v>0.0035999999999999999</v>
      </c>
    </row>
    <row r="38" spans="1:4" ht="12.75" customHeight="1">
      <c r="A38" s="237" t="s">
        <v>409</v>
      </c>
      <c r="B38" s="256" t="s">
        <v>304</v>
      </c>
      <c r="C38" s="239">
        <f>SUM(C33:C37)</f>
        <v>0.1202</v>
      </c>
      <c r="D38" s="239">
        <f>SUM(D33:D37)</f>
        <v>0.089700000000000002</v>
      </c>
    </row>
    <row r="39" spans="1:4" ht="12.75" customHeight="1">
      <c r="A39" s="238" t="s">
        <v>410</v>
      </c>
      <c r="B39" s="240"/>
      <c r="C39" s="240"/>
      <c r="D39" s="241"/>
    </row>
    <row r="40" spans="1:4" ht="12.75" customHeight="1">
      <c r="A40" s="251" t="s">
        <v>411</v>
      </c>
      <c r="B40" s="257" t="s">
        <v>412</v>
      </c>
      <c r="C40" s="253">
        <v>0.18429999999999999</v>
      </c>
      <c r="D40" s="253">
        <v>0.068900000000000003</v>
      </c>
    </row>
    <row r="41" spans="1:4" ht="12.75" customHeight="1">
      <c r="A41" s="251" t="s">
        <v>413</v>
      </c>
      <c r="B41" s="258" t="s">
        <v>414</v>
      </c>
      <c r="C41" s="253">
        <v>0.0051000000000000004</v>
      </c>
      <c r="D41" s="253">
        <v>0.0038</v>
      </c>
    </row>
    <row r="42" spans="1:4" ht="12.75" customHeight="1">
      <c r="A42" s="259" t="s">
        <v>415</v>
      </c>
      <c r="B42" s="260" t="s">
        <v>304</v>
      </c>
      <c r="C42" s="261">
        <f>SUM(C40:C41)</f>
        <v>0.18940000000000001</v>
      </c>
      <c r="D42" s="261">
        <f>SUM(D40:D41)</f>
        <v>0.072700000000000001</v>
      </c>
    </row>
    <row r="43" spans="1:4" ht="12.75" customHeight="1">
      <c r="A43" s="256" t="s">
        <v>416</v>
      </c>
      <c r="B43" s="262"/>
      <c r="C43" s="239">
        <f>C19+C31+C38+C42</f>
        <v>1.1785000000000001</v>
      </c>
      <c r="D43" s="239">
        <f>D19+D31+D38+D42</f>
        <v>0.7177</v>
      </c>
    </row>
    <row r="44" spans="1:4" ht="12.75" customHeight="1">
      <c r="A44" s="145"/>
      <c r="B44" s="230"/>
      <c r="C44" s="230"/>
      <c r="D44" s="230"/>
    </row>
    <row r="45" spans="1:4" ht="12.75" customHeight="1">
      <c r="A45" s="145"/>
      <c r="B45" s="263"/>
      <c r="C45" s="263"/>
      <c r="D45" s="263"/>
    </row>
    <row r="46" spans="1:1" ht="12.75" customHeight="1">
      <c r="A46" s="145"/>
    </row>
    <row r="47" spans="1:1" ht="12.75" customHeight="1">
      <c r="A47" s="145"/>
    </row>
    <row r="48" spans="1:1" ht="12.75" customHeight="1">
      <c r="A48" s="145"/>
    </row>
    <row r="49" spans="1:1" ht="12.75" customHeight="1">
      <c r="A49" s="103" t="s">
        <v>206</v>
      </c>
    </row>
    <row r="50" spans="1:1" ht="12.75" customHeight="1">
      <c r="A50" s="103" t="s">
        <v>207</v>
      </c>
    </row>
    <row r="51" spans="1:1" ht="12.75" customHeight="1">
      <c r="A51" s="103" t="s">
        <v>208</v>
      </c>
    </row>
  </sheetData>
  <mergeCells count="7">
    <mergeCell ref="A3:B4"/>
    <mergeCell ref="A43:B43"/>
    <mergeCell ref="A6:D6"/>
    <mergeCell ref="A9:D9"/>
    <mergeCell ref="A20:D20"/>
    <mergeCell ref="A32:D32"/>
    <mergeCell ref="A39:D39"/>
  </mergeCells>
  <printOptions horizontalCentered="1"/>
  <pageMargins left="0.31496062992125984" right="0.31496062992125984" top="0.5905511811023623" bottom="0.5905511811023623" header="0.31496062992125984" footer="0.31496062992125984"/>
  <pageSetup horizontalDpi="360" verticalDpi="360" orientation="portrait" paperSize="9" r:id="rId2"/>
  <headerFooter>
    <oddFooter>&amp;CPágina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58bab0f-4c00-4862-b8d3-a44c94f27453}">
  <sheetPr>
    <pageSetUpPr fitToPage="1"/>
  </sheetPr>
  <dimension ref="A1:V40"/>
  <sheetViews>
    <sheetView showGridLines="0" view="pageBreakPreview" zoomScaleNormal="100" zoomScaleSheetLayoutView="100" workbookViewId="0" topLeftCell="A1">
      <selection pane="topLeft" activeCell="Z27" sqref="Z27"/>
    </sheetView>
  </sheetViews>
  <sheetFormatPr defaultColWidth="4.0042857142857144" defaultRowHeight="13" customHeight="1"/>
  <cols>
    <col min="1" max="1" width="4.714285714285714" style="61" bestFit="1" customWidth="1"/>
    <col min="2" max="2" width="62.42857142857143" style="61" customWidth="1"/>
    <col min="3" max="3" width="3.857142857142857" style="62" bestFit="1" customWidth="1"/>
    <col min="4" max="4" width="8.857142857142858" style="61" bestFit="1" customWidth="1"/>
    <col min="5" max="5" width="13.285714285714286" style="61" bestFit="1" customWidth="1"/>
    <col min="6" max="6" width="15" style="61" bestFit="1" customWidth="1"/>
    <col min="7" max="7" width="12.428571428571429" style="61" hidden="1" customWidth="1"/>
    <col min="8" max="8" width="12.857142857142858" style="61" hidden="1" customWidth="1"/>
    <col min="9" max="9" width="9.142857142857142" style="61" customWidth="1"/>
    <col min="10" max="10" width="15.142857142857142" style="61" customWidth="1"/>
    <col min="11" max="18" width="9.142857142857142" style="61" hidden="1" customWidth="1"/>
    <col min="19" max="19" width="9.142857142857142" style="61" customWidth="1"/>
    <col min="20" max="20" width="12.857142857142858" style="61" bestFit="1" customWidth="1"/>
    <col min="21" max="21" width="9.142857142857142" style="61" customWidth="1"/>
    <col min="22" max="22" width="14.857142857142858" style="61" bestFit="1" customWidth="1"/>
    <col min="23" max="78" width="9.142857142857142" style="61" customWidth="1"/>
    <col min="79" max="16384" width="4" style="61"/>
  </cols>
  <sheetData>
    <row r="1" spans="1:6" ht="13">
      <c r="A1" s="2" t="s">
        <v>0</v>
      </c>
      <c r="B1" s="2"/>
      <c r="C1" s="3"/>
      <c r="D1" s="4"/>
      <c r="E1" s="5"/>
      <c r="F1" s="5"/>
    </row>
    <row r="2" spans="1:22" ht="13">
      <c r="A2" s="2" t="s">
        <v>1</v>
      </c>
      <c r="B2" s="2"/>
      <c r="C2" s="6"/>
      <c r="D2" s="2"/>
      <c r="E2" s="7"/>
      <c r="F2" s="8"/>
      <c r="U2" s="9" t="s">
        <v>2</v>
      </c>
      <c r="V2" s="9"/>
    </row>
    <row r="3" spans="1:22" ht="13" customHeight="1">
      <c r="A3" s="2" t="s">
        <v>3</v>
      </c>
      <c r="B3" s="2"/>
      <c r="C3" s="6"/>
      <c r="D3" s="2"/>
      <c r="E3" s="7"/>
      <c r="F3" s="8"/>
      <c r="U3" s="10">
        <v>2</v>
      </c>
      <c r="V3" s="10"/>
    </row>
    <row r="4" spans="1:22" ht="13" customHeight="1">
      <c r="A4" s="2"/>
      <c r="B4" s="2"/>
      <c r="C4" s="6"/>
      <c r="D4" s="2"/>
      <c r="E4" s="7"/>
      <c r="F4" s="8"/>
      <c r="U4" s="10"/>
      <c r="V4" s="10"/>
    </row>
    <row r="5" spans="1:22" ht="13" customHeight="1">
      <c r="A5" s="2" t="s">
        <v>4</v>
      </c>
      <c r="B5" s="11"/>
      <c r="C5" s="3"/>
      <c r="D5" s="12"/>
      <c r="E5" s="8"/>
      <c r="F5" s="8"/>
      <c r="U5" s="10"/>
      <c r="V5" s="10"/>
    </row>
    <row r="6" spans="1:22" ht="13">
      <c r="A6" s="2" t="s">
        <v>5</v>
      </c>
      <c r="B6" s="11"/>
      <c r="C6" s="3"/>
      <c r="D6" s="12"/>
      <c r="E6" s="8"/>
      <c r="F6" s="8"/>
      <c r="U6" s="10"/>
      <c r="V6" s="10"/>
    </row>
    <row r="7" spans="1:22" ht="13">
      <c r="A7" s="2" t="s">
        <v>6</v>
      </c>
      <c r="B7" s="11"/>
      <c r="C7" s="3"/>
      <c r="D7" s="12"/>
      <c r="E7" s="8"/>
      <c r="F7" s="8"/>
      <c r="U7" s="13" t="s">
        <v>7</v>
      </c>
      <c r="V7" s="14"/>
    </row>
    <row r="8" spans="1:22" ht="13">
      <c r="A8" s="15"/>
      <c r="B8" s="11"/>
      <c r="C8" s="3"/>
      <c r="D8" s="12"/>
      <c r="E8" s="8"/>
      <c r="F8" s="8"/>
      <c r="U8" s="13">
        <v>45230</v>
      </c>
      <c r="V8" s="14"/>
    </row>
    <row r="9" spans="1:22" ht="15.5">
      <c r="A9" s="264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</row>
    <row r="10" spans="1:6" ht="13">
      <c r="A10" s="3"/>
      <c r="B10" s="6"/>
      <c r="C10" s="6"/>
      <c r="D10" s="6"/>
      <c r="E10" s="17"/>
      <c r="F10" s="5"/>
    </row>
    <row r="11" spans="1:22" ht="13">
      <c r="A11" s="18" t="s">
        <v>9</v>
      </c>
      <c r="B11" s="18" t="s">
        <v>10</v>
      </c>
      <c r="C11" s="18" t="s">
        <v>11</v>
      </c>
      <c r="D11" s="19" t="s">
        <v>12</v>
      </c>
      <c r="E11" s="20" t="s">
        <v>13</v>
      </c>
      <c r="F11" s="20" t="s">
        <v>14</v>
      </c>
      <c r="G11" s="21" t="s">
        <v>15</v>
      </c>
      <c r="H11" s="22"/>
      <c r="I11" s="21" t="s">
        <v>15</v>
      </c>
      <c r="J11" s="22"/>
      <c r="K11" s="21" t="s">
        <v>15</v>
      </c>
      <c r="L11" s="22"/>
      <c r="M11" s="21" t="s">
        <v>15</v>
      </c>
      <c r="N11" s="22"/>
      <c r="O11" s="21" t="s">
        <v>15</v>
      </c>
      <c r="P11" s="22"/>
      <c r="Q11" s="21" t="s">
        <v>15</v>
      </c>
      <c r="R11" s="22"/>
      <c r="S11" s="21" t="s">
        <v>16</v>
      </c>
      <c r="T11" s="22"/>
      <c r="U11" s="21" t="s">
        <v>17</v>
      </c>
      <c r="V11" s="22"/>
    </row>
    <row r="12" spans="1:22" ht="13">
      <c r="A12" s="23"/>
      <c r="B12" s="23"/>
      <c r="C12" s="23"/>
      <c r="D12" s="24"/>
      <c r="E12" s="25"/>
      <c r="F12" s="25"/>
      <c r="G12" s="26" t="s">
        <v>18</v>
      </c>
      <c r="H12" s="27" t="s">
        <v>19</v>
      </c>
      <c r="I12" s="26" t="s">
        <v>18</v>
      </c>
      <c r="J12" s="27" t="s">
        <v>19</v>
      </c>
      <c r="K12" s="26" t="s">
        <v>18</v>
      </c>
      <c r="L12" s="27" t="s">
        <v>19</v>
      </c>
      <c r="M12" s="26" t="s">
        <v>18</v>
      </c>
      <c r="N12" s="27" t="s">
        <v>19</v>
      </c>
      <c r="O12" s="26" t="s">
        <v>18</v>
      </c>
      <c r="P12" s="27" t="s">
        <v>19</v>
      </c>
      <c r="Q12" s="26" t="s">
        <v>18</v>
      </c>
      <c r="R12" s="27" t="s">
        <v>19</v>
      </c>
      <c r="S12" s="26" t="s">
        <v>18</v>
      </c>
      <c r="T12" s="27" t="s">
        <v>19</v>
      </c>
      <c r="U12" s="26" t="s">
        <v>18</v>
      </c>
      <c r="V12" s="27" t="s">
        <v>19</v>
      </c>
    </row>
    <row r="13" spans="1:22" ht="13">
      <c r="A13" s="28" t="s">
        <v>20</v>
      </c>
      <c r="B13" s="29" t="s">
        <v>21</v>
      </c>
      <c r="C13" s="30"/>
      <c r="D13" s="31"/>
      <c r="E13" s="32"/>
      <c r="F13" s="32">
        <f>SUM(F14:F16)</f>
        <v>39674.28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26">
      <c r="A14" s="30" t="s">
        <v>22</v>
      </c>
      <c r="B14" s="34" t="s">
        <v>23</v>
      </c>
      <c r="C14" s="30" t="s">
        <v>24</v>
      </c>
      <c r="D14" s="31">
        <f>'MEM.CÁLCULO (2)'!E13</f>
        <v>24</v>
      </c>
      <c r="E14" s="35">
        <v>1125.9000000000001</v>
      </c>
      <c r="F14" s="36">
        <f>D14*E14</f>
        <v>27021.60</v>
      </c>
      <c r="G14" s="37">
        <v>24</v>
      </c>
      <c r="H14" s="38">
        <f>G14*E14</f>
        <v>27021.60</v>
      </c>
      <c r="I14" s="37"/>
      <c r="J14" s="38">
        <f>I14*E14</f>
        <v>0</v>
      </c>
      <c r="K14" s="37"/>
      <c r="L14" s="38">
        <f>K14*E14</f>
        <v>0</v>
      </c>
      <c r="M14" s="37"/>
      <c r="N14" s="38">
        <f>M14*E14</f>
        <v>0</v>
      </c>
      <c r="O14" s="37"/>
      <c r="P14" s="38">
        <f>O14*E14</f>
        <v>0</v>
      </c>
      <c r="Q14" s="37"/>
      <c r="R14" s="38">
        <f>Q14*E14</f>
        <v>0</v>
      </c>
      <c r="S14" s="37">
        <f>G14+I14+K14+M14+O14+Q14</f>
        <v>24</v>
      </c>
      <c r="T14" s="38">
        <f>H14+J14+L14+N14+P14+R14</f>
        <v>27021.60</v>
      </c>
      <c r="U14" s="37">
        <f>D14-S14</f>
        <v>0</v>
      </c>
      <c r="V14" s="38">
        <f>F14-T14</f>
        <v>0</v>
      </c>
    </row>
    <row r="15" spans="1:22" ht="13">
      <c r="A15" s="30" t="s">
        <v>25</v>
      </c>
      <c r="B15" s="34" t="s">
        <v>26</v>
      </c>
      <c r="C15" s="30" t="s">
        <v>24</v>
      </c>
      <c r="D15" s="31">
        <f>'MEM.CÁLCULO (2)'!F18</f>
        <v>12</v>
      </c>
      <c r="E15" s="35">
        <v>200.11</v>
      </c>
      <c r="F15" s="36">
        <f>D15*E15</f>
        <v>2401.3200000000002</v>
      </c>
      <c r="G15" s="37">
        <v>12</v>
      </c>
      <c r="H15" s="38">
        <f t="shared" si="0" ref="H15:H27">G15*E15</f>
        <v>2401.3200000000002</v>
      </c>
      <c r="I15" s="37"/>
      <c r="J15" s="38">
        <f t="shared" si="1" ref="J15:J27">I15*E15</f>
        <v>0</v>
      </c>
      <c r="K15" s="37"/>
      <c r="L15" s="38">
        <f t="shared" si="2" ref="L15:L27">K15*E15</f>
        <v>0</v>
      </c>
      <c r="M15" s="37"/>
      <c r="N15" s="38">
        <f t="shared" si="3" ref="N15:N27">M15*E15</f>
        <v>0</v>
      </c>
      <c r="O15" s="37"/>
      <c r="P15" s="38">
        <f t="shared" si="4" ref="P15:P27">O15*E15</f>
        <v>0</v>
      </c>
      <c r="Q15" s="37"/>
      <c r="R15" s="38">
        <f t="shared" si="5" ref="R15:R27">Q15*E15</f>
        <v>0</v>
      </c>
      <c r="S15" s="37">
        <f t="shared" si="6" ref="S15:S27">G15+I15+K15+M15+O15+Q15</f>
        <v>12</v>
      </c>
      <c r="T15" s="38">
        <f t="shared" si="7" ref="T15:T27">H15+J15+L15+N15+P15+R15</f>
        <v>2401.3200000000002</v>
      </c>
      <c r="U15" s="37">
        <f t="shared" si="8" ref="U15:U27">D15-S15</f>
        <v>0</v>
      </c>
      <c r="V15" s="38">
        <f t="shared" si="9" ref="V15:V27">F15-T15</f>
        <v>0</v>
      </c>
    </row>
    <row r="16" spans="1:22" ht="13">
      <c r="A16" s="30" t="s">
        <v>27</v>
      </c>
      <c r="B16" s="34" t="s">
        <v>28</v>
      </c>
      <c r="C16" s="30" t="s">
        <v>29</v>
      </c>
      <c r="D16" s="31">
        <f>'MEM.CÁLCULO (2)'!C23</f>
        <v>16272</v>
      </c>
      <c r="E16" s="35">
        <v>0.63</v>
      </c>
      <c r="F16" s="36">
        <f>D16*E16</f>
        <v>10251.36</v>
      </c>
      <c r="G16" s="37">
        <v>326</v>
      </c>
      <c r="H16" s="38">
        <f t="shared" si="0"/>
        <v>205.38</v>
      </c>
      <c r="I16" s="37">
        <f>0.01*16272</f>
        <v>162.72</v>
      </c>
      <c r="J16" s="38">
        <f t="shared" si="1"/>
        <v>102.51</v>
      </c>
      <c r="K16" s="37"/>
      <c r="L16" s="38">
        <f t="shared" si="2"/>
        <v>0</v>
      </c>
      <c r="M16" s="37"/>
      <c r="N16" s="38">
        <f t="shared" si="3"/>
        <v>0</v>
      </c>
      <c r="O16" s="37"/>
      <c r="P16" s="38">
        <f t="shared" si="4"/>
        <v>0</v>
      </c>
      <c r="Q16" s="37"/>
      <c r="R16" s="38">
        <f t="shared" si="5"/>
        <v>0</v>
      </c>
      <c r="S16" s="37">
        <f t="shared" si="6"/>
        <v>488.72</v>
      </c>
      <c r="T16" s="38">
        <f t="shared" si="7"/>
        <v>307.89</v>
      </c>
      <c r="U16" s="37">
        <f t="shared" si="8"/>
        <v>15783.28</v>
      </c>
      <c r="V16" s="38">
        <f t="shared" si="9"/>
        <v>9943.4699999999993</v>
      </c>
    </row>
    <row r="17" spans="1:22" ht="13">
      <c r="A17" s="30"/>
      <c r="B17" s="34"/>
      <c r="C17" s="30"/>
      <c r="D17" s="31"/>
      <c r="E17" s="35"/>
      <c r="F17" s="36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</row>
    <row r="18" spans="1:22" ht="13">
      <c r="A18" s="28" t="s">
        <v>30</v>
      </c>
      <c r="B18" s="39" t="s">
        <v>31</v>
      </c>
      <c r="C18" s="28"/>
      <c r="D18" s="40"/>
      <c r="E18" s="41"/>
      <c r="F18" s="32">
        <f>SUM(F19:F20)</f>
        <v>118981.26</v>
      </c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</row>
    <row r="19" spans="1:22" ht="13">
      <c r="A19" s="30" t="s">
        <v>32</v>
      </c>
      <c r="B19" s="34" t="s">
        <v>33</v>
      </c>
      <c r="C19" s="30" t="s">
        <v>34</v>
      </c>
      <c r="D19" s="31">
        <f>'MEM.CÁLCULO (2)'!C30</f>
        <v>1</v>
      </c>
      <c r="E19" s="35">
        <v>59490.63</v>
      </c>
      <c r="F19" s="36">
        <f>D19*E19</f>
        <v>59490.63</v>
      </c>
      <c r="G19" s="37">
        <v>1</v>
      </c>
      <c r="H19" s="38">
        <f t="shared" si="0"/>
        <v>59490.63</v>
      </c>
      <c r="I19" s="37"/>
      <c r="J19" s="38">
        <f t="shared" si="1"/>
        <v>0</v>
      </c>
      <c r="K19" s="37"/>
      <c r="L19" s="38">
        <f t="shared" si="2"/>
        <v>0</v>
      </c>
      <c r="M19" s="37"/>
      <c r="N19" s="38">
        <f t="shared" si="3"/>
        <v>0</v>
      </c>
      <c r="O19" s="37"/>
      <c r="P19" s="38">
        <f t="shared" si="4"/>
        <v>0</v>
      </c>
      <c r="Q19" s="37"/>
      <c r="R19" s="38">
        <f t="shared" si="5"/>
        <v>0</v>
      </c>
      <c r="S19" s="37">
        <f t="shared" si="6"/>
        <v>1</v>
      </c>
      <c r="T19" s="38">
        <f t="shared" si="7"/>
        <v>59490.63</v>
      </c>
      <c r="U19" s="37">
        <f t="shared" si="8"/>
        <v>0</v>
      </c>
      <c r="V19" s="38">
        <f t="shared" si="9"/>
        <v>0</v>
      </c>
    </row>
    <row r="20" spans="1:22" ht="13">
      <c r="A20" s="30" t="s">
        <v>35</v>
      </c>
      <c r="B20" s="34" t="s">
        <v>36</v>
      </c>
      <c r="C20" s="30" t="s">
        <v>34</v>
      </c>
      <c r="D20" s="31">
        <f>'MEM.CÁLCULO (2)'!C35</f>
        <v>1</v>
      </c>
      <c r="E20" s="35">
        <v>59490.63</v>
      </c>
      <c r="F20" s="36">
        <f>D20*E20</f>
        <v>59490.63</v>
      </c>
      <c r="G20" s="37"/>
      <c r="H20" s="38">
        <f t="shared" si="0"/>
        <v>0</v>
      </c>
      <c r="I20" s="37"/>
      <c r="J20" s="38">
        <f t="shared" si="1"/>
        <v>0</v>
      </c>
      <c r="K20" s="37"/>
      <c r="L20" s="38">
        <f t="shared" si="2"/>
        <v>0</v>
      </c>
      <c r="M20" s="37"/>
      <c r="N20" s="38">
        <f t="shared" si="3"/>
        <v>0</v>
      </c>
      <c r="O20" s="37"/>
      <c r="P20" s="38">
        <f t="shared" si="4"/>
        <v>0</v>
      </c>
      <c r="Q20" s="37"/>
      <c r="R20" s="38">
        <f t="shared" si="5"/>
        <v>0</v>
      </c>
      <c r="S20" s="37">
        <f t="shared" si="6"/>
        <v>0</v>
      </c>
      <c r="T20" s="38">
        <f t="shared" si="7"/>
        <v>0</v>
      </c>
      <c r="U20" s="37">
        <f t="shared" si="8"/>
        <v>1</v>
      </c>
      <c r="V20" s="38">
        <f t="shared" si="9"/>
        <v>59490.63</v>
      </c>
    </row>
    <row r="21" spans="1:22" ht="13">
      <c r="A21" s="30"/>
      <c r="B21" s="34"/>
      <c r="C21" s="30"/>
      <c r="D21" s="31"/>
      <c r="E21" s="35"/>
      <c r="F21" s="36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</row>
    <row r="22" spans="1:22" ht="13">
      <c r="A22" s="28" t="s">
        <v>37</v>
      </c>
      <c r="B22" s="39" t="s">
        <v>38</v>
      </c>
      <c r="C22" s="30"/>
      <c r="D22" s="31"/>
      <c r="E22" s="32"/>
      <c r="F22" s="32">
        <f>SUM(F23)</f>
        <v>209348.82</v>
      </c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</row>
    <row r="23" spans="1:22" ht="13">
      <c r="A23" s="30" t="s">
        <v>39</v>
      </c>
      <c r="B23" s="34" t="s">
        <v>40</v>
      </c>
      <c r="C23" s="30" t="s">
        <v>34</v>
      </c>
      <c r="D23" s="31">
        <f>'MEM.CÁLCULO (2)'!C42</f>
        <v>1</v>
      </c>
      <c r="E23" s="35">
        <v>209348.82</v>
      </c>
      <c r="F23" s="36">
        <f>D23*E23</f>
        <v>209348.82</v>
      </c>
      <c r="G23" s="37">
        <v>0.02</v>
      </c>
      <c r="H23" s="38">
        <f t="shared" si="0"/>
        <v>4186.9799999999996</v>
      </c>
      <c r="I23" s="37">
        <v>0.01</v>
      </c>
      <c r="J23" s="38">
        <f t="shared" si="1"/>
        <v>2093.4899999999998</v>
      </c>
      <c r="K23" s="37"/>
      <c r="L23" s="38">
        <f t="shared" si="2"/>
        <v>0</v>
      </c>
      <c r="M23" s="37"/>
      <c r="N23" s="38">
        <f t="shared" si="3"/>
        <v>0</v>
      </c>
      <c r="O23" s="37"/>
      <c r="P23" s="38">
        <f t="shared" si="4"/>
        <v>0</v>
      </c>
      <c r="Q23" s="37"/>
      <c r="R23" s="38">
        <f t="shared" si="5"/>
        <v>0</v>
      </c>
      <c r="S23" s="37">
        <f t="shared" si="6"/>
        <v>0.03</v>
      </c>
      <c r="T23" s="38">
        <f t="shared" si="7"/>
        <v>6280.47</v>
      </c>
      <c r="U23" s="37">
        <f t="shared" si="8"/>
        <v>0.97</v>
      </c>
      <c r="V23" s="38">
        <f t="shared" si="9"/>
        <v>203068.35</v>
      </c>
    </row>
    <row r="24" spans="1:22" ht="13">
      <c r="A24" s="30"/>
      <c r="B24" s="34"/>
      <c r="C24" s="30"/>
      <c r="D24" s="31"/>
      <c r="E24" s="35"/>
      <c r="F24" s="36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</row>
    <row r="25" spans="1:22" ht="13">
      <c r="A25" s="28" t="s">
        <v>41</v>
      </c>
      <c r="B25" s="39" t="s">
        <v>42</v>
      </c>
      <c r="C25" s="30"/>
      <c r="D25" s="42"/>
      <c r="E25" s="32"/>
      <c r="F25" s="32">
        <f>SUM(F26:F27)</f>
        <v>14167240.449999999</v>
      </c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</row>
    <row r="26" spans="1:22" s="43" customFormat="1" ht="26">
      <c r="A26" s="44" t="s">
        <v>43</v>
      </c>
      <c r="B26" s="45" t="s">
        <v>44</v>
      </c>
      <c r="C26" s="44" t="s">
        <v>45</v>
      </c>
      <c r="D26" s="46">
        <f>'MEM.CÁLCULO (2)'!F50</f>
        <v>9208.32</v>
      </c>
      <c r="E26" s="35">
        <v>1253.92</v>
      </c>
      <c r="F26" s="47">
        <f>D26*E26</f>
        <v>11546496.609999999</v>
      </c>
      <c r="G26" s="48">
        <v>167</v>
      </c>
      <c r="H26" s="38">
        <f t="shared" si="0"/>
        <v>209404.64</v>
      </c>
      <c r="I26" s="48"/>
      <c r="J26" s="38">
        <f t="shared" si="1"/>
        <v>0</v>
      </c>
      <c r="K26" s="48"/>
      <c r="L26" s="38">
        <f t="shared" si="2"/>
        <v>0</v>
      </c>
      <c r="M26" s="48"/>
      <c r="N26" s="38">
        <f t="shared" si="3"/>
        <v>0</v>
      </c>
      <c r="O26" s="48"/>
      <c r="P26" s="38">
        <f t="shared" si="4"/>
        <v>0</v>
      </c>
      <c r="Q26" s="48"/>
      <c r="R26" s="38">
        <f t="shared" si="5"/>
        <v>0</v>
      </c>
      <c r="S26" s="37">
        <f t="shared" si="6"/>
        <v>167</v>
      </c>
      <c r="T26" s="38">
        <f t="shared" si="7"/>
        <v>209404.64</v>
      </c>
      <c r="U26" s="37">
        <f t="shared" si="8"/>
        <v>9041.32</v>
      </c>
      <c r="V26" s="38">
        <f t="shared" si="9"/>
        <v>11337091.970000001</v>
      </c>
    </row>
    <row r="27" spans="1:22" s="43" customFormat="1" ht="13">
      <c r="A27" s="44" t="s">
        <v>46</v>
      </c>
      <c r="B27" s="49" t="s">
        <v>47</v>
      </c>
      <c r="C27" s="44" t="s">
        <v>29</v>
      </c>
      <c r="D27" s="46">
        <v>35244</v>
      </c>
      <c r="E27" s="35">
        <v>74.36</v>
      </c>
      <c r="F27" s="47">
        <f>E27*D27</f>
        <v>2620743.84</v>
      </c>
      <c r="G27" s="48">
        <v>640</v>
      </c>
      <c r="H27" s="38">
        <f t="shared" si="0"/>
        <v>47590.40</v>
      </c>
      <c r="I27" s="48">
        <v>2670</v>
      </c>
      <c r="J27" s="38">
        <f t="shared" si="1"/>
        <v>198541.20</v>
      </c>
      <c r="K27" s="48"/>
      <c r="L27" s="38">
        <f t="shared" si="2"/>
        <v>0</v>
      </c>
      <c r="M27" s="48"/>
      <c r="N27" s="38">
        <f t="shared" si="3"/>
        <v>0</v>
      </c>
      <c r="O27" s="48"/>
      <c r="P27" s="38">
        <f t="shared" si="4"/>
        <v>0</v>
      </c>
      <c r="Q27" s="48"/>
      <c r="R27" s="38">
        <f t="shared" si="5"/>
        <v>0</v>
      </c>
      <c r="S27" s="37">
        <f t="shared" si="6"/>
        <v>3310</v>
      </c>
      <c r="T27" s="38">
        <f t="shared" si="7"/>
        <v>246131.60</v>
      </c>
      <c r="U27" s="37">
        <f t="shared" si="8"/>
        <v>31934</v>
      </c>
      <c r="V27" s="38">
        <f t="shared" si="9"/>
        <v>2374612.2400000002</v>
      </c>
    </row>
    <row r="28" spans="1:22" s="43" customFormat="1" ht="13.5" thickBot="1">
      <c r="A28" s="44"/>
      <c r="B28" s="49"/>
      <c r="C28" s="44"/>
      <c r="D28" s="46"/>
      <c r="E28" s="35"/>
      <c r="F28" s="47"/>
      <c r="G28" s="48"/>
      <c r="H28" s="50"/>
      <c r="I28" s="48"/>
      <c r="J28" s="51"/>
      <c r="K28" s="48"/>
      <c r="L28" s="51"/>
      <c r="M28" s="48"/>
      <c r="N28" s="51"/>
      <c r="O28" s="48"/>
      <c r="P28" s="51"/>
      <c r="Q28" s="48"/>
      <c r="R28" s="51"/>
      <c r="S28" s="48"/>
      <c r="T28" s="51"/>
      <c r="U28" s="48"/>
      <c r="V28" s="51"/>
    </row>
    <row r="29" spans="1:22" ht="15" thickBot="1">
      <c r="A29" s="52"/>
      <c r="B29" s="52"/>
      <c r="C29" s="52"/>
      <c r="D29" s="52"/>
      <c r="E29" s="53" t="s">
        <v>48</v>
      </c>
      <c r="F29" s="32">
        <f>SUM(F13,F18,F22,F25)</f>
        <v>14535244.810000001</v>
      </c>
      <c r="G29" s="54"/>
      <c r="H29" s="55">
        <f>SUM(H14:H27)</f>
        <v>350300.95</v>
      </c>
      <c r="I29" s="54"/>
      <c r="J29" s="265">
        <f t="shared" si="10" ref="J29">SUM(J14:J27)</f>
        <v>200737.20</v>
      </c>
      <c r="K29" s="54"/>
      <c r="L29" s="55">
        <f t="shared" si="11" ref="L29">SUM(L14:L27)</f>
        <v>0</v>
      </c>
      <c r="M29" s="54"/>
      <c r="N29" s="55">
        <f t="shared" si="12" ref="N29">SUM(N14:N27)</f>
        <v>0</v>
      </c>
      <c r="O29" s="54"/>
      <c r="P29" s="55">
        <f t="shared" si="13" ref="P29">SUM(P14:P27)</f>
        <v>0</v>
      </c>
      <c r="Q29" s="54"/>
      <c r="R29" s="55">
        <f t="shared" si="14" ref="R29">SUM(R14:R27)</f>
        <v>0</v>
      </c>
      <c r="S29" s="54"/>
      <c r="T29" s="55">
        <f t="shared" si="15" ref="T29">SUM(T14:T27)</f>
        <v>551038.15</v>
      </c>
      <c r="U29" s="54"/>
      <c r="V29" s="55">
        <f t="shared" si="16" ref="V29">SUM(V14:V27)</f>
        <v>13984206.66</v>
      </c>
    </row>
    <row r="30" spans="1:6" ht="13">
      <c r="A30" s="3"/>
      <c r="B30" s="56"/>
      <c r="C30" s="3"/>
      <c r="D30" s="4"/>
      <c r="E30" s="5"/>
      <c r="F30" s="5"/>
    </row>
    <row r="31" spans="1:22" ht="15.5" customHeight="1">
      <c r="A31" s="57" t="s">
        <v>417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10" ht="13">
      <c r="A32" s="3"/>
      <c r="C32" s="3"/>
      <c r="D32" s="4"/>
      <c r="E32" s="5"/>
      <c r="H32" s="58"/>
      <c r="J32" s="266"/>
    </row>
    <row r="33" spans="1:5" ht="13">
      <c r="A33" s="3"/>
      <c r="C33" s="3"/>
      <c r="D33" s="4"/>
      <c r="E33" s="5"/>
    </row>
    <row r="34" spans="1:6" ht="13">
      <c r="A34" s="3"/>
      <c r="B34" s="56"/>
      <c r="C34" s="3"/>
      <c r="D34" s="4"/>
      <c r="E34" s="5"/>
      <c r="F34" s="5"/>
    </row>
    <row r="35" spans="19:22" ht="13">
      <c r="S35" s="59" t="s">
        <v>50</v>
      </c>
      <c r="T35" s="59"/>
      <c r="U35" s="59"/>
      <c r="V35" s="59"/>
    </row>
    <row r="36" spans="6:22" ht="13">
      <c r="F36" s="60"/>
      <c r="S36" s="59" t="s">
        <v>51</v>
      </c>
      <c r="T36" s="59"/>
      <c r="U36" s="59"/>
      <c r="V36" s="59"/>
    </row>
    <row r="37" spans="19:22" ht="13">
      <c r="S37" s="59" t="s">
        <v>52</v>
      </c>
      <c r="T37" s="59"/>
      <c r="U37" s="59"/>
      <c r="V37" s="59"/>
    </row>
    <row r="39" spans="6:6" ht="13">
      <c r="F39" s="5"/>
    </row>
    <row r="40" spans="6:6" ht="13">
      <c r="F40" s="56"/>
    </row>
  </sheetData>
  <mergeCells count="23">
    <mergeCell ref="E11:E12"/>
    <mergeCell ref="F11:F12"/>
    <mergeCell ref="A9:V9"/>
    <mergeCell ref="U2:V2"/>
    <mergeCell ref="U7:V7"/>
    <mergeCell ref="U8:V8"/>
    <mergeCell ref="U3:V6"/>
    <mergeCell ref="A31:V31"/>
    <mergeCell ref="S35:V35"/>
    <mergeCell ref="S36:V36"/>
    <mergeCell ref="S37:V37"/>
    <mergeCell ref="U11:V11"/>
    <mergeCell ref="O11:P11"/>
    <mergeCell ref="Q11:R11"/>
    <mergeCell ref="G11:H11"/>
    <mergeCell ref="I11:J11"/>
    <mergeCell ref="K11:L11"/>
    <mergeCell ref="M11:N11"/>
    <mergeCell ref="S11:T11"/>
    <mergeCell ref="A11:A12"/>
    <mergeCell ref="B11:B12"/>
    <mergeCell ref="C11:C12"/>
    <mergeCell ref="D11:D12"/>
  </mergeCells>
  <printOptions verticalCentered="1"/>
  <pageMargins left="0.7086614173228347" right="0.31496062992125984" top="0.1968503937007874" bottom="0.3937007874015748" header="0.31496062992125984" footer="0.31496062992125984"/>
  <pageSetup horizontalDpi="360" verticalDpi="360" orientation="landscape" paperSize="9" scale="7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BM</vt:lpstr>
      <vt:lpstr>CPU</vt:lpstr>
      <vt:lpstr>COTAÇÕES</vt:lpstr>
      <vt:lpstr>VIAS CONTEMPLADAS</vt:lpstr>
      <vt:lpstr>MEM.CÁLCULO</vt:lpstr>
      <vt:lpstr>CFF</vt:lpstr>
      <vt:lpstr>BDI</vt:lpstr>
      <vt:lpstr>ENC.SOCIAIS</vt:lpstr>
      <vt:lpstr>BM (2)</vt:lpstr>
      <vt:lpstr>CPU (2)</vt:lpstr>
      <vt:lpstr>COTAÇÕES (2)</vt:lpstr>
      <vt:lpstr>VIAS CONTEMPLADAS (2)</vt:lpstr>
      <vt:lpstr>MEM.CÁLCULO (2)</vt:lpstr>
      <vt:lpstr>CFF (2)</vt:lpstr>
      <vt:lpstr>BDI (2)</vt:lpstr>
      <vt:lpstr>ENC.SOCIAIS (2)</vt:lpstr>
      <vt:lpstr>Comp. Ins.</vt:lpstr>
      <vt:lpstr>medição</vt:lpstr>
      <vt:lpstr>MEM.CÁLCULO (3)</vt:lpstr>
      <vt:lpstr>CPU (3)</vt:lpstr>
      <vt:lpstr>CRONOGRAMA</vt:lpstr>
      <vt:lpstr>BDI (3)</vt:lpstr>
      <vt:lpstr>ENC.SOCIAIS (3)</vt:lpstr>
      <vt:lpstr>BOLETIM DE MEDIÇÃO</vt:lpstr>
      <vt:lpstr>BOLETIM DE MEDIÇÃO (2)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